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ris D'Arcy\Documents\darcy\ACES\TEI4M\"/>
    </mc:Choice>
  </mc:AlternateContent>
  <bookViews>
    <workbookView xWindow="0" yWindow="0" windowWidth="15300" windowHeight="7560"/>
  </bookViews>
  <sheets>
    <sheet name="HOME" sheetId="3" r:id="rId1"/>
    <sheet name="Square Approx to Notes" sheetId="4" r:id="rId2"/>
    <sheet name="FrequencyFormula" sheetId="6" r:id="rId3"/>
    <sheet name="Timer 1 Normal Mode 0" sheetId="2" r:id="rId4"/>
    <sheet name="Timer 2 Normal Mode 0 " sheetId="15" r:id="rId5"/>
    <sheet name="T1 PWM Phase Correct Mode 1" sheetId="18" r:id="rId6"/>
    <sheet name="T2 PWM Phase Correct Mode 5 " sheetId="17" r:id="rId7"/>
    <sheet name="Timer 1 CTC Mode 4" sheetId="11" r:id="rId8"/>
    <sheet name="Timer 1 Fast PWM Modes 5-7 " sheetId="8" r:id="rId9"/>
    <sheet name="Timer 2 Fast PWM Mode 7" sheetId="16" r:id="rId10"/>
    <sheet name="DC Fan T2 Mode 7" sheetId="12" r:id="rId11"/>
    <sheet name="ICP Options" sheetId="14" r:id="rId12"/>
    <sheet name="ADC Prescalar" sheetId="13" r:id="rId13"/>
    <sheet name="ResisterInterpreter" sheetId="10" r:id="rId14"/>
    <sheet name="Resistor" sheetId="9" r:id="rId15"/>
    <sheet name="LightItUp" sheetId="7" r:id="rId16"/>
    <sheet name="SquareWaveApproxCompleted" sheetId="5" r:id="rId17"/>
    <sheet name="ServoSupport" sheetId="1" r:id="rId18"/>
  </sheets>
  <definedNames>
    <definedName name="NoteTable" localSheetId="13">ResisterInterpreter!#REF!</definedName>
    <definedName name="NoteTable" localSheetId="14">Resistor!#REF!</definedName>
    <definedName name="NoteTable">'Square Approx to Notes'!$C$34:$D$157</definedName>
    <definedName name="Resistor">ResisterInterpreter!$B$8:$C$17</definedName>
    <definedName name="Resistors">Resistor!$B$8:$C$17</definedName>
  </definedNames>
  <calcPr calcId="162913"/>
</workbook>
</file>

<file path=xl/calcChain.xml><?xml version="1.0" encoding="utf-8"?>
<calcChain xmlns="http://schemas.openxmlformats.org/spreadsheetml/2006/main">
  <c r="M16" i="15" l="1"/>
  <c r="K100" i="4" l="1"/>
  <c r="O20" i="4" l="1"/>
  <c r="O21" i="4"/>
  <c r="O22" i="4"/>
  <c r="O23" i="4"/>
  <c r="N20" i="4"/>
  <c r="N21" i="4"/>
  <c r="N22" i="4"/>
  <c r="N23" i="4"/>
  <c r="M20" i="4"/>
  <c r="M21" i="4"/>
  <c r="M22" i="4"/>
  <c r="M23" i="4"/>
  <c r="L20" i="4"/>
  <c r="L21" i="4"/>
  <c r="L22" i="4"/>
  <c r="L23" i="4"/>
  <c r="J20" i="4"/>
  <c r="J21" i="4"/>
  <c r="J22" i="4"/>
  <c r="J23" i="4"/>
  <c r="H10" i="17" l="1"/>
  <c r="H9" i="17"/>
  <c r="H8" i="17"/>
  <c r="H7" i="17"/>
  <c r="H6" i="17"/>
  <c r="H5" i="17"/>
  <c r="H4" i="17"/>
  <c r="H3" i="17"/>
  <c r="H10" i="16"/>
  <c r="H9" i="16"/>
  <c r="H8" i="16"/>
  <c r="H7" i="16"/>
  <c r="H6" i="16"/>
  <c r="H5" i="16"/>
  <c r="H4" i="16"/>
  <c r="H3" i="16"/>
  <c r="C12" i="18"/>
  <c r="C13" i="18" s="1"/>
  <c r="H10" i="18"/>
  <c r="H9" i="18"/>
  <c r="H8" i="18"/>
  <c r="H7" i="18"/>
  <c r="C7" i="18"/>
  <c r="C8" i="18" s="1"/>
  <c r="H6" i="18"/>
  <c r="H5" i="18"/>
  <c r="C5" i="18"/>
  <c r="C11" i="18" s="1"/>
  <c r="H4" i="18"/>
  <c r="H3" i="18"/>
  <c r="C12" i="17" l="1"/>
  <c r="C11" i="17"/>
  <c r="C5" i="17"/>
  <c r="C7" i="17" s="1"/>
  <c r="C8" i="17" l="1"/>
  <c r="C13" i="17" s="1"/>
  <c r="C10" i="11"/>
  <c r="C10" i="16"/>
  <c r="C5" i="16"/>
  <c r="C7" i="16" s="1"/>
  <c r="C8" i="16" s="1"/>
  <c r="C14" i="8"/>
  <c r="C11" i="8"/>
  <c r="H11" i="8"/>
  <c r="H10" i="8"/>
  <c r="H9" i="8"/>
  <c r="H8" i="8"/>
  <c r="H7" i="8"/>
  <c r="H6" i="8"/>
  <c r="H5" i="8"/>
  <c r="H4" i="8"/>
  <c r="C5" i="11"/>
  <c r="C7" i="11" s="1"/>
  <c r="C8" i="11" s="1"/>
  <c r="C11" i="11" s="1"/>
  <c r="H10" i="11"/>
  <c r="H9" i="11"/>
  <c r="H8" i="11"/>
  <c r="H7" i="11"/>
  <c r="H6" i="11"/>
  <c r="H5" i="11"/>
  <c r="H4" i="11"/>
  <c r="H3" i="11"/>
  <c r="H3" i="15"/>
  <c r="H3" i="2"/>
  <c r="H10" i="2"/>
  <c r="H9" i="2"/>
  <c r="H8" i="2"/>
  <c r="H7" i="2"/>
  <c r="H6" i="2"/>
  <c r="H5" i="2"/>
  <c r="H4" i="2"/>
  <c r="H5" i="15"/>
  <c r="H6" i="15"/>
  <c r="H7" i="15"/>
  <c r="H8" i="15"/>
  <c r="H9" i="15"/>
  <c r="H10" i="15"/>
  <c r="H4" i="15"/>
  <c r="C5" i="15"/>
  <c r="C8" i="15" s="1"/>
  <c r="C10" i="15" s="1"/>
  <c r="C11" i="15" s="1"/>
  <c r="C9" i="15" l="1"/>
  <c r="C11" i="16"/>
  <c r="E9" i="14" l="1"/>
  <c r="E10" i="14" s="1"/>
  <c r="E11" i="14" s="1"/>
  <c r="E12" i="14" s="1"/>
  <c r="D10" i="12" l="1"/>
  <c r="C5" i="13" l="1"/>
  <c r="D6" i="12" l="1"/>
  <c r="D8" i="12" s="1"/>
  <c r="C9" i="1" l="1"/>
  <c r="C8" i="1"/>
  <c r="C7" i="1"/>
  <c r="C6" i="1"/>
  <c r="C5" i="1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G32" i="5"/>
  <c r="O29" i="5"/>
  <c r="N29" i="5"/>
  <c r="M29" i="5"/>
  <c r="L29" i="5"/>
  <c r="J29" i="5"/>
  <c r="F29" i="5"/>
  <c r="O28" i="5"/>
  <c r="N28" i="5"/>
  <c r="M28" i="5"/>
  <c r="L28" i="5"/>
  <c r="J28" i="5"/>
  <c r="F28" i="5"/>
  <c r="O27" i="5"/>
  <c r="N27" i="5"/>
  <c r="M27" i="5"/>
  <c r="L27" i="5"/>
  <c r="J27" i="5"/>
  <c r="F27" i="5"/>
  <c r="O26" i="5"/>
  <c r="N26" i="5"/>
  <c r="M26" i="5"/>
  <c r="L26" i="5"/>
  <c r="J26" i="5"/>
  <c r="F26" i="5"/>
  <c r="O25" i="5"/>
  <c r="N25" i="5"/>
  <c r="M25" i="5"/>
  <c r="L25" i="5"/>
  <c r="J25" i="5"/>
  <c r="F25" i="5"/>
  <c r="O24" i="5"/>
  <c r="N24" i="5"/>
  <c r="M24" i="5"/>
  <c r="L24" i="5"/>
  <c r="J24" i="5"/>
  <c r="F24" i="5"/>
  <c r="O23" i="5"/>
  <c r="N23" i="5"/>
  <c r="M23" i="5"/>
  <c r="L23" i="5"/>
  <c r="J23" i="5"/>
  <c r="F23" i="5"/>
  <c r="O22" i="5"/>
  <c r="N22" i="5"/>
  <c r="M22" i="5"/>
  <c r="L22" i="5"/>
  <c r="J22" i="5"/>
  <c r="F22" i="5"/>
  <c r="O21" i="5"/>
  <c r="N21" i="5"/>
  <c r="M21" i="5"/>
  <c r="L21" i="5"/>
  <c r="J21" i="5"/>
  <c r="F21" i="5"/>
  <c r="O20" i="5"/>
  <c r="N20" i="5"/>
  <c r="M20" i="5"/>
  <c r="L20" i="5"/>
  <c r="J20" i="5"/>
  <c r="F20" i="5"/>
  <c r="O19" i="5"/>
  <c r="N19" i="5"/>
  <c r="M19" i="5"/>
  <c r="L19" i="5"/>
  <c r="J19" i="5"/>
  <c r="F19" i="5"/>
  <c r="O18" i="5"/>
  <c r="N18" i="5"/>
  <c r="M18" i="5"/>
  <c r="L18" i="5"/>
  <c r="J18" i="5"/>
  <c r="F18" i="5"/>
  <c r="O17" i="5"/>
  <c r="N17" i="5"/>
  <c r="M17" i="5"/>
  <c r="L17" i="5"/>
  <c r="J17" i="5"/>
  <c r="F17" i="5"/>
  <c r="O16" i="5"/>
  <c r="N16" i="5"/>
  <c r="M16" i="5"/>
  <c r="L16" i="5"/>
  <c r="J16" i="5"/>
  <c r="F16" i="5"/>
  <c r="O15" i="5"/>
  <c r="N15" i="5"/>
  <c r="M15" i="5"/>
  <c r="L15" i="5"/>
  <c r="J15" i="5"/>
  <c r="F15" i="5"/>
  <c r="O14" i="5"/>
  <c r="N14" i="5"/>
  <c r="M14" i="5"/>
  <c r="L14" i="5"/>
  <c r="J14" i="5"/>
  <c r="F14" i="5"/>
  <c r="O13" i="5"/>
  <c r="N13" i="5"/>
  <c r="M13" i="5"/>
  <c r="L13" i="5"/>
  <c r="J13" i="5"/>
  <c r="F13" i="5"/>
  <c r="J11" i="7"/>
  <c r="J10" i="7"/>
  <c r="J8" i="7"/>
  <c r="J7" i="7"/>
  <c r="I12" i="9"/>
  <c r="H12" i="9"/>
  <c r="G12" i="9"/>
  <c r="I11" i="9"/>
  <c r="H11" i="9"/>
  <c r="G11" i="9"/>
  <c r="I9" i="10"/>
  <c r="H9" i="10"/>
  <c r="G9" i="10"/>
  <c r="I8" i="10"/>
  <c r="H8" i="10"/>
  <c r="G8" i="10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G48" i="4"/>
  <c r="C48" i="4"/>
  <c r="G47" i="4"/>
  <c r="C47" i="4"/>
  <c r="G46" i="4"/>
  <c r="C46" i="4"/>
  <c r="G45" i="4"/>
  <c r="C45" i="4"/>
  <c r="G44" i="4"/>
  <c r="C44" i="4"/>
  <c r="G43" i="4"/>
  <c r="C43" i="4"/>
  <c r="G42" i="4"/>
  <c r="C42" i="4"/>
  <c r="G41" i="4"/>
  <c r="C41" i="4"/>
  <c r="G40" i="4"/>
  <c r="C40" i="4"/>
  <c r="G39" i="4"/>
  <c r="C39" i="4"/>
  <c r="G38" i="4"/>
  <c r="C38" i="4"/>
  <c r="G37" i="4"/>
  <c r="C37" i="4"/>
  <c r="G36" i="4"/>
  <c r="C36" i="4"/>
  <c r="C35" i="4"/>
  <c r="C34" i="4"/>
  <c r="G33" i="4"/>
  <c r="O30" i="4"/>
  <c r="N30" i="4"/>
  <c r="M30" i="4"/>
  <c r="L30" i="4"/>
  <c r="F30" i="4"/>
  <c r="O29" i="4"/>
  <c r="N29" i="4"/>
  <c r="M29" i="4"/>
  <c r="L29" i="4"/>
  <c r="F29" i="4"/>
  <c r="O28" i="4"/>
  <c r="N28" i="4"/>
  <c r="M28" i="4"/>
  <c r="L28" i="4"/>
  <c r="F28" i="4"/>
  <c r="O27" i="4"/>
  <c r="N27" i="4"/>
  <c r="M27" i="4"/>
  <c r="L27" i="4"/>
  <c r="F27" i="4"/>
  <c r="O26" i="4"/>
  <c r="N26" i="4"/>
  <c r="M26" i="4"/>
  <c r="L26" i="4"/>
  <c r="F26" i="4"/>
  <c r="O25" i="4"/>
  <c r="N25" i="4"/>
  <c r="M25" i="4"/>
  <c r="L25" i="4"/>
  <c r="F25" i="4"/>
  <c r="O24" i="4"/>
  <c r="N24" i="4"/>
  <c r="M24" i="4"/>
  <c r="L24" i="4"/>
  <c r="F24" i="4"/>
  <c r="F23" i="4"/>
  <c r="F22" i="4"/>
  <c r="F21" i="4"/>
  <c r="F20" i="4"/>
  <c r="O19" i="4"/>
  <c r="N19" i="4"/>
  <c r="M19" i="4"/>
  <c r="L19" i="4"/>
  <c r="J19" i="4"/>
  <c r="F19" i="4"/>
  <c r="O18" i="4"/>
  <c r="N18" i="4"/>
  <c r="M18" i="4"/>
  <c r="L18" i="4"/>
  <c r="J18" i="4"/>
  <c r="F18" i="4"/>
  <c r="O17" i="4"/>
  <c r="N17" i="4"/>
  <c r="M17" i="4"/>
  <c r="L17" i="4"/>
  <c r="J17" i="4"/>
  <c r="F17" i="4"/>
  <c r="O16" i="4"/>
  <c r="N16" i="4"/>
  <c r="M16" i="4"/>
  <c r="L16" i="4"/>
  <c r="J16" i="4"/>
  <c r="F16" i="4"/>
  <c r="O15" i="4"/>
  <c r="N15" i="4"/>
  <c r="M15" i="4"/>
  <c r="L15" i="4"/>
  <c r="J15" i="4"/>
  <c r="F15" i="4"/>
  <c r="O14" i="4"/>
  <c r="N14" i="4"/>
  <c r="M14" i="4"/>
  <c r="L14" i="4"/>
  <c r="J14" i="4"/>
  <c r="F14" i="4"/>
  <c r="C6" i="8"/>
  <c r="C5" i="2"/>
  <c r="C8" i="8" l="1"/>
  <c r="C9" i="8" s="1"/>
  <c r="C8" i="2"/>
  <c r="C15" i="8" l="1"/>
  <c r="C12" i="8"/>
  <c r="C9" i="2"/>
  <c r="C10" i="2"/>
  <c r="C11" i="2" s="1"/>
</calcChain>
</file>

<file path=xl/comments1.xml><?xml version="1.0" encoding="utf-8"?>
<comments xmlns="http://schemas.openxmlformats.org/spreadsheetml/2006/main">
  <authors>
    <author>CD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CD:</t>
        </r>
        <r>
          <rPr>
            <sz val="9"/>
            <color indexed="81"/>
            <rFont val="Tahoma"/>
            <family val="2"/>
          </rPr>
          <t xml:space="preserve">
25kHz is the required frequency for our DC Fan PWM Signal</t>
        </r>
      </text>
    </comment>
  </commentList>
</comments>
</file>

<file path=xl/sharedStrings.xml><?xml version="1.0" encoding="utf-8"?>
<sst xmlns="http://schemas.openxmlformats.org/spreadsheetml/2006/main" count="779" uniqueCount="364">
  <si>
    <t>counts/ms</t>
  </si>
  <si>
    <t>counts per second</t>
  </si>
  <si>
    <t>20 ms</t>
  </si>
  <si>
    <t>1 ms</t>
  </si>
  <si>
    <t>2 ms</t>
  </si>
  <si>
    <t>Scaled Clock</t>
  </si>
  <si>
    <t>Full Period</t>
  </si>
  <si>
    <t>5% Duty (0 degrees)</t>
  </si>
  <si>
    <t>OCR1B</t>
  </si>
  <si>
    <t>OCR1A (TOP)</t>
  </si>
  <si>
    <t>10% Duty (180 degrees)</t>
  </si>
  <si>
    <t>System Clock</t>
  </si>
  <si>
    <t>Clock Select</t>
  </si>
  <si>
    <t>prescalar</t>
  </si>
  <si>
    <t>Servo Support from Fast PWM Mode on Timer 1</t>
  </si>
  <si>
    <t>Counts per second</t>
  </si>
  <si>
    <t>Counter Cap.</t>
  </si>
  <si>
    <t>Maximum count</t>
  </si>
  <si>
    <t>Prescalar</t>
  </si>
  <si>
    <t>Frequency</t>
  </si>
  <si>
    <t>Timer counts per second</t>
  </si>
  <si>
    <t>Hz (complete cycle/2)</t>
  </si>
  <si>
    <t>External Clk:</t>
  </si>
  <si>
    <t>ATmega328P</t>
  </si>
  <si>
    <t>Arduino UNO:</t>
  </si>
  <si>
    <t>Date:</t>
  </si>
  <si>
    <t>Scope Trace Capture:</t>
  </si>
  <si>
    <t>AVR Timers: Square Wave Approximations of Musical Notes (C. D'Arcy)</t>
  </si>
  <si>
    <t>References</t>
  </si>
  <si>
    <t>Note Frequencies:</t>
  </si>
  <si>
    <t>http://www.phy.mtu.edu/~suits/notefreqs.html</t>
  </si>
  <si>
    <t>Note Formulas:</t>
  </si>
  <si>
    <t>http://www.phy.mtu.edu/~suits/NoteFreqCalcs.html</t>
  </si>
  <si>
    <t>Human Ear:</t>
  </si>
  <si>
    <t>http://hyperphysics.phy-astr.gsu.edu/hbase/Sound/earsens.html</t>
  </si>
  <si>
    <t>ATMEL:</t>
  </si>
  <si>
    <t>http://mail.rsgc.on.ca/~cdarcy/Datasheets/AVR130.pdf</t>
  </si>
  <si>
    <t>Excel:</t>
  </si>
  <si>
    <t>Vlookup Table</t>
  </si>
  <si>
    <t>Mark</t>
  </si>
  <si>
    <t>Space</t>
  </si>
  <si>
    <t>Timer</t>
  </si>
  <si>
    <t>System</t>
  </si>
  <si>
    <t>Configuration</t>
  </si>
  <si>
    <t>Mode</t>
  </si>
  <si>
    <t>Name</t>
  </si>
  <si>
    <t>CK (Hz)</t>
  </si>
  <si>
    <t>Period (s)</t>
  </si>
  <si>
    <t>PVal</t>
  </si>
  <si>
    <t>MaxVal</t>
  </si>
  <si>
    <t>TCNT from</t>
  </si>
  <si>
    <t>Mark/Space</t>
  </si>
  <si>
    <t>Duty Cycle</t>
  </si>
  <si>
    <t>Frequency (Hz)</t>
  </si>
  <si>
    <t>Note*</t>
  </si>
  <si>
    <t>Audible**</t>
  </si>
  <si>
    <t>Normal</t>
  </si>
  <si>
    <t>* Closest</t>
  </si>
  <si>
    <t>**Humans</t>
  </si>
  <si>
    <t>Note Table</t>
  </si>
  <si>
    <t>Tuning</t>
  </si>
  <si>
    <t>(A4)</t>
  </si>
  <si>
    <t>n</t>
  </si>
  <si>
    <t>Freq.</t>
  </si>
  <si>
    <t>Note</t>
  </si>
  <si>
    <t>12th root of 2:</t>
  </si>
  <si>
    <t>C0</t>
  </si>
  <si>
    <t>C#0/Db0</t>
  </si>
  <si>
    <t>D0</t>
  </si>
  <si>
    <t>D#0/Eb0</t>
  </si>
  <si>
    <t>E0</t>
  </si>
  <si>
    <t>F0</t>
  </si>
  <si>
    <t>F#0/Gb0</t>
  </si>
  <si>
    <t>G0</t>
  </si>
  <si>
    <t>G#1/Ab1</t>
  </si>
  <si>
    <t>A1</t>
  </si>
  <si>
    <t>A#1/Bb1</t>
  </si>
  <si>
    <t>B1</t>
  </si>
  <si>
    <t>C1</t>
  </si>
  <si>
    <t>C#1/Db1</t>
  </si>
  <si>
    <t>D1</t>
  </si>
  <si>
    <t>D#1/Eb1</t>
  </si>
  <si>
    <t>E1</t>
  </si>
  <si>
    <t>F1</t>
  </si>
  <si>
    <t>F#1/Gb1</t>
  </si>
  <si>
    <t>G1</t>
  </si>
  <si>
    <t>A2</t>
  </si>
  <si>
    <t>A#2/Bb2</t>
  </si>
  <si>
    <t>B2</t>
  </si>
  <si>
    <t>C2</t>
  </si>
  <si>
    <t>C#2/Db2</t>
  </si>
  <si>
    <t>D2</t>
  </si>
  <si>
    <t>D#2/Eb2</t>
  </si>
  <si>
    <t>E2</t>
  </si>
  <si>
    <t>F2</t>
  </si>
  <si>
    <t>F#2/Gb2</t>
  </si>
  <si>
    <t>G2</t>
  </si>
  <si>
    <t>G#2/Ab2</t>
  </si>
  <si>
    <t>C3</t>
  </si>
  <si>
    <t>C#3/Db3</t>
  </si>
  <si>
    <t>D3</t>
  </si>
  <si>
    <t>D#3/Eb3</t>
  </si>
  <si>
    <t>E3</t>
  </si>
  <si>
    <t>F3</t>
  </si>
  <si>
    <t>F#3/Gb3</t>
  </si>
  <si>
    <t>G3</t>
  </si>
  <si>
    <t>G#3/Ab3</t>
  </si>
  <si>
    <t>A3</t>
  </si>
  <si>
    <t>A#3/Bb3</t>
  </si>
  <si>
    <t>B3</t>
  </si>
  <si>
    <t>C4</t>
  </si>
  <si>
    <t>C#4/Db4</t>
  </si>
  <si>
    <t>D4</t>
  </si>
  <si>
    <t>D#4/Eb4</t>
  </si>
  <si>
    <t>E4</t>
  </si>
  <si>
    <t>F4</t>
  </si>
  <si>
    <t>F#4/Gb4</t>
  </si>
  <si>
    <t>G4</t>
  </si>
  <si>
    <t>G#4/Ab4</t>
  </si>
  <si>
    <t>A4</t>
  </si>
  <si>
    <t>A#4/Bb4</t>
  </si>
  <si>
    <t>B4</t>
  </si>
  <si>
    <t>C5</t>
  </si>
  <si>
    <t>C#5/Db5</t>
  </si>
  <si>
    <t>D5</t>
  </si>
  <si>
    <t>D#5/Eb5</t>
  </si>
  <si>
    <t>E5</t>
  </si>
  <si>
    <t>F5</t>
  </si>
  <si>
    <t>F#5/Gb5</t>
  </si>
  <si>
    <t>G5</t>
  </si>
  <si>
    <t>G#5/Ab5</t>
  </si>
  <si>
    <t>A5</t>
  </si>
  <si>
    <t>A#5/Bb5</t>
  </si>
  <si>
    <t>B5</t>
  </si>
  <si>
    <t>C6</t>
  </si>
  <si>
    <t>C#6/Db6</t>
  </si>
  <si>
    <t>D6</t>
  </si>
  <si>
    <t>D#6/Eb6</t>
  </si>
  <si>
    <t>E6</t>
  </si>
  <si>
    <t>F6</t>
  </si>
  <si>
    <t>F#6/Gb6</t>
  </si>
  <si>
    <t>G6</t>
  </si>
  <si>
    <t>G#6/Ab6</t>
  </si>
  <si>
    <t>A6</t>
  </si>
  <si>
    <t>A#6/Bb6</t>
  </si>
  <si>
    <t>B6</t>
  </si>
  <si>
    <t>C7</t>
  </si>
  <si>
    <t>C#7/Db7</t>
  </si>
  <si>
    <t>D7</t>
  </si>
  <si>
    <t>D#7/Eb7</t>
  </si>
  <si>
    <t>E7</t>
  </si>
  <si>
    <t>F7</t>
  </si>
  <si>
    <t>F#7/Gb7</t>
  </si>
  <si>
    <t>G7</t>
  </si>
  <si>
    <t>G#7/Ab7</t>
  </si>
  <si>
    <t>A7</t>
  </si>
  <si>
    <t>A#7/Bb7</t>
  </si>
  <si>
    <t>B7</t>
  </si>
  <si>
    <t>C8</t>
  </si>
  <si>
    <t>C#8/Db8</t>
  </si>
  <si>
    <t>D8</t>
  </si>
  <si>
    <t>D#8/Eb8</t>
  </si>
  <si>
    <t>E8</t>
  </si>
  <si>
    <t>F8</t>
  </si>
  <si>
    <t>F#8/Gb8</t>
  </si>
  <si>
    <t>G8</t>
  </si>
  <si>
    <t>G#8/Ab8</t>
  </si>
  <si>
    <t>A8</t>
  </si>
  <si>
    <t>A#8/Bb8</t>
  </si>
  <si>
    <t>B8</t>
  </si>
  <si>
    <t>A#/Bb</t>
  </si>
  <si>
    <t>REFERENCES</t>
  </si>
  <si>
    <t>CK(Hz)</t>
  </si>
  <si>
    <t>Pval</t>
  </si>
  <si>
    <t>Audible?**</t>
  </si>
  <si>
    <t>VLookup Table</t>
  </si>
  <si>
    <t>Last Update:</t>
  </si>
  <si>
    <t>Assembled by:</t>
  </si>
  <si>
    <t>C. D'Arcy</t>
  </si>
  <si>
    <t>E. McAuliffe (ACES '18)</t>
  </si>
  <si>
    <t>From the first page of the MSGEQ7 Datasheet:</t>
  </si>
  <si>
    <t>CK</t>
  </si>
  <si>
    <t>fLED</t>
  </si>
  <si>
    <t>Overflows</t>
  </si>
  <si>
    <t>Timer Ticks</t>
  </si>
  <si>
    <t>Crystal Oscillator</t>
  </si>
  <si>
    <t>Desired Frequency (Hz)</t>
  </si>
  <si>
    <t>TCNT2</t>
  </si>
  <si>
    <t>TOP</t>
  </si>
  <si>
    <r>
      <rPr>
        <b/>
        <sz val="11"/>
        <color theme="1"/>
        <rFont val="Calibri"/>
        <family val="2"/>
        <scheme val="minor"/>
      </rPr>
      <t xml:space="preserve">TOP </t>
    </r>
    <r>
      <rPr>
        <sz val="11"/>
        <color theme="1"/>
        <rFont val="Calibri"/>
        <family val="2"/>
        <scheme val="minor"/>
      </rPr>
      <t>minus</t>
    </r>
    <r>
      <rPr>
        <b/>
        <sz val="11"/>
        <color theme="1"/>
        <rFont val="Calibri"/>
        <family val="2"/>
        <scheme val="minor"/>
      </rPr>
      <t xml:space="preserve"> Timer Ticks</t>
    </r>
  </si>
  <si>
    <t>Must be zero!</t>
  </si>
  <si>
    <t>2*Des. Freq.</t>
  </si>
  <si>
    <t>Confirmed with Calculator</t>
  </si>
  <si>
    <t>OCRnA</t>
  </si>
  <si>
    <t>C</t>
  </si>
  <si>
    <t>D</t>
  </si>
  <si>
    <t>E</t>
  </si>
  <si>
    <t>F</t>
  </si>
  <si>
    <t>B</t>
  </si>
  <si>
    <t>A</t>
  </si>
  <si>
    <t>Common Waveforms:</t>
  </si>
  <si>
    <t>These are the 6 reference bands of MSI's MSSCSA Frequency Chips</t>
  </si>
  <si>
    <t>(Even powers of the twelfth root of 2)</t>
  </si>
  <si>
    <t>Resistor Interpreter: Vlookup() Function</t>
  </si>
  <si>
    <t>Black</t>
  </si>
  <si>
    <t>Brown</t>
  </si>
  <si>
    <t>Red</t>
  </si>
  <si>
    <t>Orange</t>
  </si>
  <si>
    <t>Yellow</t>
  </si>
  <si>
    <t>Green</t>
  </si>
  <si>
    <t xml:space="preserve">Blue </t>
  </si>
  <si>
    <t>Violet</t>
  </si>
  <si>
    <t>Gray</t>
  </si>
  <si>
    <t>White</t>
  </si>
  <si>
    <t>First</t>
  </si>
  <si>
    <t>Second</t>
  </si>
  <si>
    <t>Zeros</t>
  </si>
  <si>
    <t>Resistor:</t>
  </si>
  <si>
    <t>Resistor Interpeter</t>
  </si>
  <si>
    <t>#</t>
  </si>
  <si>
    <t>Colour</t>
  </si>
  <si>
    <t>Blue</t>
  </si>
  <si>
    <t>Enter Resistor Value:</t>
  </si>
  <si>
    <t>Digits</t>
  </si>
  <si>
    <t>Colours</t>
  </si>
  <si>
    <t xml:space="preserve">Hz </t>
  </si>
  <si>
    <t>Hz/2</t>
  </si>
  <si>
    <t>TCNT1</t>
  </si>
  <si>
    <t>OCRnB</t>
  </si>
  <si>
    <t>2018 04 02</t>
  </si>
  <si>
    <t>16.000MHz Crystal</t>
  </si>
  <si>
    <t>OCR2A</t>
  </si>
  <si>
    <t>* Mimics K. Shirriff's blog example</t>
  </si>
  <si>
    <t>OC2A (Optional) can leave unconnected for normal digital use</t>
  </si>
  <si>
    <t>OCR2B**</t>
  </si>
  <si>
    <t>ADC Scaling on an ATmega328p</t>
  </si>
  <si>
    <t>F_CPU</t>
  </si>
  <si>
    <t>Prescale</t>
  </si>
  <si>
    <t>MHz</t>
  </si>
  <si>
    <t>kHz</t>
  </si>
  <si>
    <t>ADPS2</t>
  </si>
  <si>
    <t>ADPS1</t>
  </si>
  <si>
    <t>ADPS0</t>
  </si>
  <si>
    <t>Division Factor</t>
  </si>
  <si>
    <t>Table 24-5. Prescaler  Selections</t>
  </si>
  <si>
    <t>Table 24-4. Input Channel Selections</t>
  </si>
  <si>
    <t>REFS0</t>
  </si>
  <si>
    <t>REFS1</t>
  </si>
  <si>
    <t>Voltage Reference</t>
  </si>
  <si>
    <t>AREF</t>
  </si>
  <si>
    <t>Reserved</t>
  </si>
  <si>
    <t>AVCC**</t>
  </si>
  <si>
    <t>Internal 1.1**</t>
  </si>
  <si>
    <t>Scaled Clock*</t>
  </si>
  <si>
    <t>* Required to be between 50kHz and 200kHz for accuracy</t>
  </si>
  <si>
    <t>**With external Capacitor at AREF</t>
  </si>
  <si>
    <t>Table 24-6. ADC Auto Trigger Source Selections</t>
  </si>
  <si>
    <t xml:space="preserve">ADTS2 </t>
  </si>
  <si>
    <t>ADTS1</t>
  </si>
  <si>
    <t>ADTS0</t>
  </si>
  <si>
    <t>Trigger Source</t>
  </si>
  <si>
    <t>Free Running Mode</t>
  </si>
  <si>
    <t>Analog Comparator</t>
  </si>
  <si>
    <t>External Interrupt Request 0</t>
  </si>
  <si>
    <t>Timer/Counter 0 Compare Match A</t>
  </si>
  <si>
    <t>Timer/Counter 0 Overflow</t>
  </si>
  <si>
    <t>Timer/Counter 1 Compare Match B</t>
  </si>
  <si>
    <t>Timer/Counter 1 Overflow</t>
  </si>
  <si>
    <t>Timer/Counter 1 Capture Event</t>
  </si>
  <si>
    <t>**DC Fan Project: SETs OC2B at BOTTOM and CLEARs OC2B on Match</t>
  </si>
  <si>
    <t>Fan Requirement</t>
  </si>
  <si>
    <t>%</t>
  </si>
  <si>
    <t>DC Fan Fast PWM Calculations for Timer 2 (Mode 7)*</t>
  </si>
  <si>
    <t>RPS</t>
  </si>
  <si>
    <t>Interrupts per second</t>
  </si>
  <si>
    <t>frequency (s)</t>
  </si>
  <si>
    <t>frequency (us)</t>
  </si>
  <si>
    <t>DC Fan Project</t>
  </si>
  <si>
    <t>Input Capture Handling Options (Timer 1)</t>
  </si>
  <si>
    <t>RPM*</t>
  </si>
  <si>
    <t>*Sunon Fan Speed Range: 900 to 4800 RPM</t>
  </si>
  <si>
    <t>A.</t>
  </si>
  <si>
    <t>B.</t>
  </si>
  <si>
    <t xml:space="preserve">Scheduled (1s?) Timer0 can schedule reading of accumulated  ICP events </t>
  </si>
  <si>
    <t>Free Running (Obtain EACH TCNT1H:L timestamp from ICR1H:L)</t>
  </si>
  <si>
    <t>ms</t>
  </si>
  <si>
    <t>CS2n</t>
  </si>
  <si>
    <t>PVals</t>
  </si>
  <si>
    <t>OVF Frequency</t>
  </si>
  <si>
    <t>Toggle Frequency</t>
  </si>
  <si>
    <t>Hz</t>
  </si>
  <si>
    <t>OVF Period</t>
  </si>
  <si>
    <t>Square Period</t>
  </si>
  <si>
    <t>CS1n</t>
  </si>
  <si>
    <t>T1 Falling</t>
  </si>
  <si>
    <t>T1 Rising</t>
  </si>
  <si>
    <t>Stopped</t>
  </si>
  <si>
    <t>ATmega328P Timer1 Normal Mode Calculator</t>
  </si>
  <si>
    <t>ATmega328P Timer2 Normal Mode Calculator</t>
  </si>
  <si>
    <t>Waveform from :</t>
  </si>
  <si>
    <t>http://www.righto.com/2009/07/secrets-of-arduino-pwm.html</t>
  </si>
  <si>
    <t>Top</t>
  </si>
  <si>
    <t>One of 0xFF, 0x1FF, 0x3FF</t>
  </si>
  <si>
    <t>Desc</t>
  </si>
  <si>
    <t>8-bit</t>
  </si>
  <si>
    <t>9-bit</t>
  </si>
  <si>
    <t>10-bit</t>
  </si>
  <si>
    <t>256 (0xFF)</t>
  </si>
  <si>
    <t>512 (0x1FF)</t>
  </si>
  <si>
    <t>1024 (0x3FF)</t>
  </si>
  <si>
    <t>Period High</t>
  </si>
  <si>
    <t>*Assumes Clear OC1A/OC1B on Compare Match, set
OC1A/OC1B at BOTTOM (non-inverting mode)</t>
  </si>
  <si>
    <t>0-256</t>
  </si>
  <si>
    <t>0-OCR2A</t>
  </si>
  <si>
    <t>OCR2B</t>
  </si>
  <si>
    <t>http://darcy.rsgc.on.ca/ACES/TEI4M/DolginDevPlatform/images/PWMWorksheet.png</t>
  </si>
  <si>
    <t xml:space="preserve">*This mode is suitable for positioning a servo horn: </t>
  </si>
  <si>
    <t>ATmega328P Timer 2 Fast PWM Mode 7 (OCR2A as Top) *</t>
  </si>
  <si>
    <t>OCR1AH:L</t>
  </si>
  <si>
    <t>COMPA Frequency</t>
  </si>
  <si>
    <t>COMPA Period</t>
  </si>
  <si>
    <t>OCR1BH:L</t>
  </si>
  <si>
    <t>0-OCR1AH:L</t>
  </si>
  <si>
    <t>COMPB Duty Cycle</t>
  </si>
  <si>
    <t>COMPB Period High</t>
  </si>
  <si>
    <t>Maximum count (0-65536)</t>
  </si>
  <si>
    <t>Timer 1 CTC (Clear Timer on Compare Match) Mode*</t>
  </si>
  <si>
    <t>Maximum (0-65536)</t>
  </si>
  <si>
    <t>Start at?</t>
  </si>
  <si>
    <t>Start at ?</t>
  </si>
  <si>
    <t>ATmega328P Timer 1 Fast PWM Calculator *</t>
  </si>
  <si>
    <t>I can’t remember what Timer 1 Mode this is with OCR1A as Top  (4?, 9?, 11?)</t>
  </si>
  <si>
    <t>ICS4U Timer Workbook</t>
  </si>
  <si>
    <t>RSGC ACES</t>
  </si>
  <si>
    <t>OCR2A**</t>
  </si>
  <si>
    <t>Maximum count (0-MaxVal)</t>
  </si>
  <si>
    <t>ATmega328P Timer 2 Fast PWM Phase Correct Mode 5</t>
  </si>
  <si>
    <t>Waveform from:</t>
  </si>
  <si>
    <t>https://wolles-elektronikkiste.de/en/timer-and-pwm-part-1-8-bit-timer0-2</t>
  </si>
  <si>
    <t xml:space="preserve">In phase-correct PWM mode (Phase Correct PWM Mode), </t>
  </si>
  <si>
    <t>the counter counts up from BOTTOM to TOP</t>
  </si>
  <si>
    <t xml:space="preserve">and then down again to BOTTOM. </t>
  </si>
  <si>
    <t>As an example, let’s take the combination of Mode 5</t>
  </si>
  <si>
    <t xml:space="preserve">and COM2B1 set, </t>
  </si>
  <si>
    <t xml:space="preserve">i.e.: “Clear OC2B when up-counting, set OC2B when down-counting”. </t>
  </si>
  <si>
    <t>OC2A Duty Cycle</t>
  </si>
  <si>
    <t>OC2A Frequency</t>
  </si>
  <si>
    <t>OC2A Period</t>
  </si>
  <si>
    <t>OC2B Frequency</t>
  </si>
  <si>
    <r>
      <t xml:space="preserve">If set to </t>
    </r>
    <r>
      <rPr>
        <b/>
        <sz val="11"/>
        <color theme="1"/>
        <rFont val="Calibri"/>
        <family val="2"/>
        <scheme val="minor"/>
      </rPr>
      <t>Toggle on Match</t>
    </r>
  </si>
  <si>
    <r>
      <rPr>
        <b/>
        <sz val="11"/>
        <color theme="1"/>
        <rFont val="Calibri"/>
        <family val="2"/>
        <scheme val="minor"/>
      </rPr>
      <t>Clear</t>
    </r>
    <r>
      <rPr>
        <sz val="11"/>
        <color theme="1"/>
        <rFont val="Calibri"/>
        <family val="2"/>
        <scheme val="minor"/>
      </rPr>
      <t xml:space="preserve"> on up, </t>
    </r>
    <r>
      <rPr>
        <b/>
        <sz val="11"/>
        <color theme="1"/>
        <rFont val="Calibri"/>
        <family val="2"/>
        <scheme val="minor"/>
      </rPr>
      <t>Set</t>
    </r>
    <r>
      <rPr>
        <sz val="11"/>
        <color theme="1"/>
        <rFont val="Calibri"/>
        <family val="2"/>
        <scheme val="minor"/>
      </rPr>
      <t xml:space="preserve"> on down</t>
    </r>
  </si>
  <si>
    <t xml:space="preserve">Waveform from </t>
  </si>
  <si>
    <t>https://garretlab.web.fc2.com/en/arduino/inside/hardware/arduino/avr/cores/arduino/wiring_analog.c/analogWrite.html</t>
  </si>
  <si>
    <t>Reference:</t>
  </si>
  <si>
    <t>ATmega328P Timer 1 Fast PWM Phase Correct Mode 1</t>
  </si>
  <si>
    <t>References:</t>
  </si>
  <si>
    <t>Not Finished</t>
  </si>
  <si>
    <t>ATmega328P Timers (Normal Mode): Square Wave Approximations of Musical Notes</t>
  </si>
  <si>
    <t>RSGC ACES:</t>
  </si>
  <si>
    <t>http://darcy.rsgc.on.ca/ACES/TEI4M/Assembly/code/pitches.h</t>
  </si>
  <si>
    <t>** Also suitable for 25 KHz frequency for driving a 4-Wire 12VDC Fan</t>
  </si>
  <si>
    <r>
      <t xml:space="preserve">*** Also suitable  for a 50% duty cycle on OC2A with </t>
    </r>
    <r>
      <rPr>
        <b/>
        <sz val="11"/>
        <color theme="1"/>
        <rFont val="Calibri"/>
        <family val="2"/>
        <scheme val="minor"/>
      </rPr>
      <t>Toggle on Compare Match</t>
    </r>
  </si>
  <si>
    <t>http://darcy.rsgc.on.ca/ACES/Datasheets/Sunon12VDCFanSpec.pdf</t>
  </si>
  <si>
    <t>2022 01 15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</si>
</sst>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000000"/>
    <numFmt numFmtId="165" formatCode="0.00000"/>
    <numFmt numFmtId="166" formatCode="0.0"/>
    <numFmt numFmtId="167" formatCode="0.000000"/>
    <numFmt numFmtId="168" formatCode="0.000"/>
    <numFmt numFmtId="169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u/>
      <sz val="11"/>
      <color theme="1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 diagonalUp="1">
      <left style="thick">
        <color indexed="64"/>
      </left>
      <right style="thick">
        <color indexed="64"/>
      </right>
      <top/>
      <bottom/>
      <diagonal style="thick">
        <color indexed="64"/>
      </diagonal>
    </border>
    <border diagonalUp="1">
      <left style="thick">
        <color indexed="64"/>
      </left>
      <right style="thick">
        <color indexed="64"/>
      </right>
      <top/>
      <bottom style="thick">
        <color indexed="64"/>
      </bottom>
      <diagonal style="thick">
        <color indexed="64"/>
      </diagonal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indexed="64"/>
      </bottom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indexed="64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rgb="FFFF0000"/>
      </right>
      <top style="thick">
        <color rgb="FFFF0000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Font="1"/>
    <xf numFmtId="0" fontId="2" fillId="0" borderId="0" xfId="0" applyFont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3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4" fillId="0" borderId="0" xfId="1" applyAlignment="1" applyProtection="1">
      <alignment horizontal="left"/>
    </xf>
    <xf numFmtId="0" fontId="0" fillId="0" borderId="7" xfId="0" applyBorder="1"/>
    <xf numFmtId="0" fontId="0" fillId="0" borderId="2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/>
    <xf numFmtId="0" fontId="4" fillId="0" borderId="0" xfId="1" applyAlignment="1" applyProtection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1" fillId="4" borderId="23" xfId="0" applyFont="1" applyFill="1" applyBorder="1" applyAlignment="1">
      <alignment horizontal="center"/>
    </xf>
    <xf numFmtId="0" fontId="1" fillId="4" borderId="24" xfId="0" applyFont="1" applyFill="1" applyBorder="1" applyAlignment="1">
      <alignment horizontal="center"/>
    </xf>
    <xf numFmtId="0" fontId="1" fillId="5" borderId="25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9" fontId="0" fillId="5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0" fontId="1" fillId="5" borderId="26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9" fontId="0" fillId="6" borderId="1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65" fontId="0" fillId="6" borderId="1" xfId="0" applyNumberFormat="1" applyFill="1" applyBorder="1" applyAlignment="1">
      <alignment horizontal="center"/>
    </xf>
    <xf numFmtId="0" fontId="1" fillId="6" borderId="26" xfId="0" applyFont="1" applyFill="1" applyBorder="1" applyAlignment="1">
      <alignment horizontal="center"/>
    </xf>
    <xf numFmtId="0" fontId="1" fillId="7" borderId="25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9" fontId="0" fillId="7" borderId="1" xfId="0" applyNumberFormat="1" applyFill="1" applyBorder="1" applyAlignment="1">
      <alignment horizontal="center"/>
    </xf>
    <xf numFmtId="1" fontId="0" fillId="7" borderId="1" xfId="0" applyNumberFormat="1" applyFill="1" applyBorder="1" applyAlignment="1">
      <alignment horizontal="center"/>
    </xf>
    <xf numFmtId="165" fontId="0" fillId="7" borderId="1" xfId="0" applyNumberFormat="1" applyFill="1" applyBorder="1" applyAlignment="1">
      <alignment horizontal="center"/>
    </xf>
    <xf numFmtId="0" fontId="1" fillId="7" borderId="26" xfId="0" applyFont="1" applyFill="1" applyBorder="1" applyAlignment="1">
      <alignment horizontal="center"/>
    </xf>
    <xf numFmtId="0" fontId="1" fillId="7" borderId="27" xfId="0" applyFont="1" applyFill="1" applyBorder="1" applyAlignment="1">
      <alignment horizontal="center"/>
    </xf>
    <xf numFmtId="0" fontId="1" fillId="7" borderId="28" xfId="0" applyFont="1" applyFill="1" applyBorder="1" applyAlignment="1">
      <alignment horizontal="center"/>
    </xf>
    <xf numFmtId="0" fontId="0" fillId="7" borderId="28" xfId="0" applyFill="1" applyBorder="1" applyAlignment="1">
      <alignment horizontal="center"/>
    </xf>
    <xf numFmtId="164" fontId="0" fillId="7" borderId="28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1" applyFont="1" applyAlignment="1" applyProtection="1">
      <alignment horizontal="center"/>
    </xf>
    <xf numFmtId="0" fontId="1" fillId="8" borderId="1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8" borderId="1" xfId="0" applyFill="1" applyBorder="1" applyAlignment="1">
      <alignment horizontal="center"/>
    </xf>
    <xf numFmtId="1" fontId="0" fillId="8" borderId="1" xfId="0" applyNumberFormat="1" applyFill="1" applyBorder="1" applyAlignment="1">
      <alignment horizontal="center"/>
    </xf>
    <xf numFmtId="0" fontId="0" fillId="8" borderId="1" xfId="0" applyFont="1" applyFill="1" applyBorder="1" applyAlignment="1">
      <alignment horizontal="center"/>
    </xf>
    <xf numFmtId="0" fontId="0" fillId="8" borderId="29" xfId="0" applyFill="1" applyBorder="1" applyAlignment="1">
      <alignment horizontal="center"/>
    </xf>
    <xf numFmtId="0" fontId="0" fillId="8" borderId="29" xfId="0" applyFont="1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21" xfId="0" applyFont="1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7" xfId="0" applyBorder="1" applyAlignment="1"/>
    <xf numFmtId="0" fontId="1" fillId="0" borderId="30" xfId="0" applyFont="1" applyBorder="1" applyAlignment="1">
      <alignment horizontal="center"/>
    </xf>
    <xf numFmtId="166" fontId="0" fillId="5" borderId="1" xfId="0" applyNumberFormat="1" applyFill="1" applyBorder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166" fontId="0" fillId="7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1" fontId="0" fillId="2" borderId="29" xfId="0" applyNumberForma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1" fontId="0" fillId="2" borderId="20" xfId="0" applyNumberFormat="1" applyFill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1" fontId="0" fillId="2" borderId="23" xfId="0" applyNumberForma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1" fillId="0" borderId="0" xfId="0" applyFont="1" applyFill="1" applyBorder="1" applyAlignment="1"/>
    <xf numFmtId="0" fontId="0" fillId="0" borderId="0" xfId="0" applyFill="1" applyBorder="1" applyAlignment="1">
      <alignment horizontal="center"/>
    </xf>
    <xf numFmtId="0" fontId="6" fillId="0" borderId="0" xfId="0" applyFont="1" applyAlignment="1">
      <alignment horizontal="center"/>
    </xf>
    <xf numFmtId="1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1" xfId="0" applyFont="1" applyBorder="1" applyAlignment="1">
      <alignment horizontal="center"/>
    </xf>
    <xf numFmtId="0" fontId="4" fillId="0" borderId="1" xfId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167" fontId="0" fillId="0" borderId="0" xfId="0" applyNumberFormat="1" applyFont="1"/>
    <xf numFmtId="0" fontId="1" fillId="0" borderId="31" xfId="0" applyFont="1" applyBorder="1" applyAlignment="1">
      <alignment horizontal="center"/>
    </xf>
    <xf numFmtId="167" fontId="1" fillId="0" borderId="32" xfId="0" applyNumberFormat="1" applyFont="1" applyBorder="1"/>
    <xf numFmtId="0" fontId="1" fillId="0" borderId="33" xfId="0" applyFont="1" applyBorder="1"/>
    <xf numFmtId="0" fontId="0" fillId="0" borderId="33" xfId="0" applyFont="1" applyBorder="1"/>
    <xf numFmtId="0" fontId="0" fillId="0" borderId="0" xfId="0" applyAlignment="1">
      <alignment horizontal="right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0" fontId="0" fillId="0" borderId="1" xfId="2" applyNumberFormat="1" applyFont="1" applyBorder="1" applyAlignment="1">
      <alignment horizontal="center"/>
    </xf>
    <xf numFmtId="0" fontId="4" fillId="0" borderId="0" xfId="1" applyFont="1" applyAlignment="1" applyProtection="1">
      <alignment horizontal="left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34" xfId="0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8" fontId="0" fillId="0" borderId="1" xfId="0" applyNumberForma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1" fillId="0" borderId="0" xfId="0" applyFont="1" applyAlignment="1"/>
    <xf numFmtId="9" fontId="0" fillId="6" borderId="1" xfId="2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169" fontId="0" fillId="9" borderId="1" xfId="2" applyNumberFormat="1" applyFont="1" applyFill="1" applyBorder="1" applyAlignment="1">
      <alignment horizontal="center"/>
    </xf>
    <xf numFmtId="168" fontId="0" fillId="6" borderId="1" xfId="2" applyNumberFormat="1" applyFont="1" applyFill="1" applyBorder="1" applyAlignment="1">
      <alignment horizontal="center"/>
    </xf>
    <xf numFmtId="168" fontId="0" fillId="9" borderId="1" xfId="0" applyNumberForma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4" fillId="0" borderId="0" xfId="1" applyBorder="1" applyAlignment="1" applyProtection="1">
      <alignment horizontal="left"/>
    </xf>
    <xf numFmtId="2" fontId="0" fillId="6" borderId="1" xfId="0" applyNumberFormat="1" applyFill="1" applyBorder="1" applyAlignment="1">
      <alignment horizontal="center"/>
    </xf>
    <xf numFmtId="0" fontId="0" fillId="9" borderId="1" xfId="0" applyNumberFormat="1" applyFill="1" applyBorder="1" applyAlignment="1">
      <alignment horizontal="center"/>
    </xf>
    <xf numFmtId="2" fontId="0" fillId="9" borderId="1" xfId="2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0" xfId="0" applyFont="1" applyAlignment="1">
      <alignment horizontal="right"/>
    </xf>
    <xf numFmtId="166" fontId="0" fillId="9" borderId="1" xfId="0" applyNumberFormat="1" applyFill="1" applyBorder="1" applyAlignment="1">
      <alignment horizontal="center"/>
    </xf>
    <xf numFmtId="0" fontId="12" fillId="10" borderId="1" xfId="0" applyFont="1" applyFill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" fillId="4" borderId="19" xfId="0" applyFont="1" applyFill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1" fillId="2" borderId="31" xfId="0" applyFont="1" applyFill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gif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gif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3.gif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0</xdr:row>
      <xdr:rowOff>104775</xdr:rowOff>
    </xdr:from>
    <xdr:to>
      <xdr:col>15</xdr:col>
      <xdr:colOff>361950</xdr:colOff>
      <xdr:row>22</xdr:row>
      <xdr:rowOff>118289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104775"/>
          <a:ext cx="7096125" cy="446168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20</xdr:row>
      <xdr:rowOff>9525</xdr:rowOff>
    </xdr:from>
    <xdr:to>
      <xdr:col>3</xdr:col>
      <xdr:colOff>285750</xdr:colOff>
      <xdr:row>22</xdr:row>
      <xdr:rowOff>135756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" y="3705225"/>
          <a:ext cx="2571750" cy="5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1</xdr:row>
      <xdr:rowOff>133351</xdr:rowOff>
    </xdr:from>
    <xdr:to>
      <xdr:col>0</xdr:col>
      <xdr:colOff>895351</xdr:colOff>
      <xdr:row>3</xdr:row>
      <xdr:rowOff>66676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1" y="323851"/>
          <a:ext cx="457200" cy="457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349250</xdr:colOff>
      <xdr:row>2</xdr:row>
      <xdr:rowOff>15875</xdr:rowOff>
    </xdr:from>
    <xdr:to>
      <xdr:col>6</xdr:col>
      <xdr:colOff>568325</xdr:colOff>
      <xdr:row>15</xdr:row>
      <xdr:rowOff>15875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476250"/>
          <a:ext cx="3886200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47626</xdr:colOff>
      <xdr:row>13</xdr:row>
      <xdr:rowOff>0</xdr:rowOff>
    </xdr:from>
    <xdr:to>
      <xdr:col>11</xdr:col>
      <xdr:colOff>345938</xdr:colOff>
      <xdr:row>14</xdr:row>
      <xdr:rowOff>173690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37126" y="2555875"/>
          <a:ext cx="3449500" cy="364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133350</xdr:rowOff>
    </xdr:from>
    <xdr:to>
      <xdr:col>15</xdr:col>
      <xdr:colOff>19050</xdr:colOff>
      <xdr:row>26</xdr:row>
      <xdr:rowOff>49233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133350"/>
          <a:ext cx="7810500" cy="48688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218517</xdr:colOff>
      <xdr:row>12</xdr:row>
      <xdr:rowOff>33620</xdr:rowOff>
    </xdr:from>
    <xdr:to>
      <xdr:col>4</xdr:col>
      <xdr:colOff>323061</xdr:colOff>
      <xdr:row>14</xdr:row>
      <xdr:rowOff>16810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9958" y="1748120"/>
          <a:ext cx="3449500" cy="36419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11</xdr:row>
      <xdr:rowOff>0</xdr:rowOff>
    </xdr:from>
    <xdr:to>
      <xdr:col>11</xdr:col>
      <xdr:colOff>51594</xdr:colOff>
      <xdr:row>21</xdr:row>
      <xdr:rowOff>0</xdr:rowOff>
    </xdr:to>
    <xdr:pic>
      <xdr:nvPicPr>
        <xdr:cNvPr id="3" name="Picture 2" descr="http://darcy.rsgc.on.ca/ACES/TEI4M/RegisterLevelOptimization/images/NormalMode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334" y="2095500"/>
          <a:ext cx="312076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117231</xdr:colOff>
      <xdr:row>0</xdr:row>
      <xdr:rowOff>183173</xdr:rowOff>
    </xdr:from>
    <xdr:to>
      <xdr:col>14</xdr:col>
      <xdr:colOff>388327</xdr:colOff>
      <xdr:row>9</xdr:row>
      <xdr:rowOff>141842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183173"/>
          <a:ext cx="3311769" cy="167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218517</xdr:colOff>
      <xdr:row>12</xdr:row>
      <xdr:rowOff>33620</xdr:rowOff>
    </xdr:from>
    <xdr:to>
      <xdr:col>4</xdr:col>
      <xdr:colOff>323061</xdr:colOff>
      <xdr:row>14</xdr:row>
      <xdr:rowOff>16810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7717" y="1938620"/>
          <a:ext cx="3446138" cy="3641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11</xdr:col>
      <xdr:colOff>61584</xdr:colOff>
      <xdr:row>21</xdr:row>
      <xdr:rowOff>0</xdr:rowOff>
    </xdr:to>
    <xdr:pic>
      <xdr:nvPicPr>
        <xdr:cNvPr id="3" name="Picture 2" descr="http://darcy.rsgc.on.ca/ACES/TEI4M/RegisterLevelOptimization/images/NormalMode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2091" y="2095500"/>
          <a:ext cx="3092266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87924</xdr:colOff>
      <xdr:row>0</xdr:row>
      <xdr:rowOff>183173</xdr:rowOff>
    </xdr:from>
    <xdr:to>
      <xdr:col>15</xdr:col>
      <xdr:colOff>165192</xdr:colOff>
      <xdr:row>10</xdr:row>
      <xdr:rowOff>7327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1" y="183173"/>
          <a:ext cx="3726076" cy="1729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250267</xdr:colOff>
      <xdr:row>14</xdr:row>
      <xdr:rowOff>120933</xdr:rowOff>
    </xdr:from>
    <xdr:to>
      <xdr:col>4</xdr:col>
      <xdr:colOff>144701</xdr:colOff>
      <xdr:row>16</xdr:row>
      <xdr:rowOff>104123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42" y="2787933"/>
          <a:ext cx="3447259" cy="364190"/>
        </a:xfrm>
        <a:prstGeom prst="rect">
          <a:avLst/>
        </a:prstGeom>
      </xdr:spPr>
    </xdr:pic>
    <xdr:clientData/>
  </xdr:twoCellAnchor>
  <xdr:twoCellAnchor editAs="oneCell">
    <xdr:from>
      <xdr:col>5</xdr:col>
      <xdr:colOff>345283</xdr:colOff>
      <xdr:row>12</xdr:row>
      <xdr:rowOff>51592</xdr:rowOff>
    </xdr:from>
    <xdr:to>
      <xdr:col>16</xdr:col>
      <xdr:colOff>440532</xdr:colOff>
      <xdr:row>28</xdr:row>
      <xdr:rowOff>21180</xdr:rowOff>
    </xdr:to>
    <xdr:pic>
      <xdr:nvPicPr>
        <xdr:cNvPr id="6" name="Picture 5" descr="https://garretlab.web.fc2.com/en/arduino/inside/hardware/arduino/avr/cores/arduino/wiring_analog.c/phase_correct_pwm1.en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9158" y="2337592"/>
          <a:ext cx="6334124" cy="301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297657</xdr:colOff>
      <xdr:row>0</xdr:row>
      <xdr:rowOff>95250</xdr:rowOff>
    </xdr:from>
    <xdr:to>
      <xdr:col>16</xdr:col>
      <xdr:colOff>130969</xdr:colOff>
      <xdr:row>10</xdr:row>
      <xdr:rowOff>141099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5595" y="95250"/>
          <a:ext cx="3905249" cy="1950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250267</xdr:colOff>
      <xdr:row>14</xdr:row>
      <xdr:rowOff>120933</xdr:rowOff>
    </xdr:from>
    <xdr:to>
      <xdr:col>4</xdr:col>
      <xdr:colOff>144701</xdr:colOff>
      <xdr:row>16</xdr:row>
      <xdr:rowOff>104123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867" y="2406933"/>
          <a:ext cx="3448847" cy="36419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158750</xdr:colOff>
      <xdr:row>10</xdr:row>
      <xdr:rowOff>79375</xdr:rowOff>
    </xdr:from>
    <xdr:to>
      <xdr:col>14</xdr:col>
      <xdr:colOff>256667</xdr:colOff>
      <xdr:row>23</xdr:row>
      <xdr:rowOff>79375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0750" y="1984375"/>
          <a:ext cx="4804854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254001</xdr:colOff>
      <xdr:row>1</xdr:row>
      <xdr:rowOff>1</xdr:rowOff>
    </xdr:from>
    <xdr:to>
      <xdr:col>16</xdr:col>
      <xdr:colOff>150207</xdr:colOff>
      <xdr:row>10</xdr:row>
      <xdr:rowOff>134939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564" y="190501"/>
          <a:ext cx="3991956" cy="184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246531</xdr:colOff>
      <xdr:row>12</xdr:row>
      <xdr:rowOff>11208</xdr:rowOff>
    </xdr:from>
    <xdr:to>
      <xdr:col>4</xdr:col>
      <xdr:colOff>256947</xdr:colOff>
      <xdr:row>13</xdr:row>
      <xdr:rowOff>184898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2" y="2297208"/>
          <a:ext cx="3450621" cy="364190"/>
        </a:xfrm>
        <a:prstGeom prst="rect">
          <a:avLst/>
        </a:prstGeom>
      </xdr:spPr>
    </xdr:pic>
    <xdr:clientData/>
  </xdr:twoCellAnchor>
  <xdr:twoCellAnchor editAs="oneCell">
    <xdr:from>
      <xdr:col>6</xdr:col>
      <xdr:colOff>183173</xdr:colOff>
      <xdr:row>12</xdr:row>
      <xdr:rowOff>14654</xdr:rowOff>
    </xdr:from>
    <xdr:to>
      <xdr:col>14</xdr:col>
      <xdr:colOff>157842</xdr:colOff>
      <xdr:row>21</xdr:row>
      <xdr:rowOff>31972</xdr:rowOff>
    </xdr:to>
    <xdr:pic>
      <xdr:nvPicPr>
        <xdr:cNvPr id="4" name="Picture 3" descr="Fast PWM Mode with OCRA to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7654" y="2300654"/>
          <a:ext cx="4839746" cy="1731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146540</xdr:colOff>
      <xdr:row>1</xdr:row>
      <xdr:rowOff>1</xdr:rowOff>
    </xdr:from>
    <xdr:to>
      <xdr:col>14</xdr:col>
      <xdr:colOff>515217</xdr:colOff>
      <xdr:row>10</xdr:row>
      <xdr:rowOff>7327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5021" y="190501"/>
          <a:ext cx="3409350" cy="172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186767</xdr:colOff>
      <xdr:row>15</xdr:row>
      <xdr:rowOff>128870</xdr:rowOff>
    </xdr:from>
    <xdr:to>
      <xdr:col>4</xdr:col>
      <xdr:colOff>152639</xdr:colOff>
      <xdr:row>17</xdr:row>
      <xdr:rowOff>112060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955" y="2986370"/>
          <a:ext cx="3450434" cy="364190"/>
        </a:xfrm>
        <a:prstGeom prst="rect">
          <a:avLst/>
        </a:prstGeom>
      </xdr:spPr>
    </xdr:pic>
    <xdr:clientData/>
  </xdr:twoCellAnchor>
  <xdr:twoCellAnchor editAs="oneCell">
    <xdr:from>
      <xdr:col>6</xdr:col>
      <xdr:colOff>96837</xdr:colOff>
      <xdr:row>12</xdr:row>
      <xdr:rowOff>71438</xdr:rowOff>
    </xdr:from>
    <xdr:to>
      <xdr:col>16</xdr:col>
      <xdr:colOff>104774</xdr:colOff>
      <xdr:row>22</xdr:row>
      <xdr:rowOff>163289</xdr:rowOff>
    </xdr:to>
    <xdr:pic>
      <xdr:nvPicPr>
        <xdr:cNvPr id="4" name="Picture 3" descr="Fast PWM Mod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2212" y="2357438"/>
          <a:ext cx="5572125" cy="1996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111125</xdr:colOff>
      <xdr:row>0</xdr:row>
      <xdr:rowOff>63501</xdr:rowOff>
    </xdr:from>
    <xdr:to>
      <xdr:col>16</xdr:col>
      <xdr:colOff>436563</xdr:colOff>
      <xdr:row>11</xdr:row>
      <xdr:rowOff>11963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063" y="63501"/>
          <a:ext cx="4056063" cy="2043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250267</xdr:colOff>
      <xdr:row>12</xdr:row>
      <xdr:rowOff>120933</xdr:rowOff>
    </xdr:from>
    <xdr:to>
      <xdr:col>4</xdr:col>
      <xdr:colOff>327264</xdr:colOff>
      <xdr:row>14</xdr:row>
      <xdr:rowOff>104123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867" y="3359433"/>
          <a:ext cx="3448847" cy="364190"/>
        </a:xfrm>
        <a:prstGeom prst="rect">
          <a:avLst/>
        </a:prstGeom>
      </xdr:spPr>
    </xdr:pic>
    <xdr:clientData/>
  </xdr:twoCellAnchor>
  <xdr:twoCellAnchor editAs="oneCell">
    <xdr:from>
      <xdr:col>6</xdr:col>
      <xdr:colOff>547687</xdr:colOff>
      <xdr:row>12</xdr:row>
      <xdr:rowOff>166688</xdr:rowOff>
    </xdr:from>
    <xdr:to>
      <xdr:col>15</xdr:col>
      <xdr:colOff>69308</xdr:colOff>
      <xdr:row>21</xdr:row>
      <xdr:rowOff>184006</xdr:rowOff>
    </xdr:to>
    <xdr:pic>
      <xdr:nvPicPr>
        <xdr:cNvPr id="4" name="Picture 3" descr="Fast PWM Mode with OCRA to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452688"/>
          <a:ext cx="4839746" cy="1731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150813</xdr:colOff>
      <xdr:row>0</xdr:row>
      <xdr:rowOff>182564</xdr:rowOff>
    </xdr:from>
    <xdr:to>
      <xdr:col>15</xdr:col>
      <xdr:colOff>368820</xdr:colOff>
      <xdr:row>9</xdr:row>
      <xdr:rowOff>182564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4063" y="182564"/>
          <a:ext cx="370257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arretlab.web.fc2.com/en/arduino/inside/hardware/arduino/avr/cores/arduino/wiring_analog.c/analogWrite.htm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darcy.rsgc.on.ca/ACES/Datasheets/Sunon12VDCFanSpec.pdf" TargetMode="External"/><Relationship Id="rId2" Type="http://schemas.openxmlformats.org/officeDocument/2006/relationships/hyperlink" Target="http://darcy.rsgc.on.ca/ACES/TEI4M/DolginDevPlatform/images/PWMWorksheet.png" TargetMode="External"/><Relationship Id="rId1" Type="http://schemas.openxmlformats.org/officeDocument/2006/relationships/hyperlink" Target="http://www.righto.com/2009/07/secrets-of-arduino-pwm.html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righto.com/2009/07/secrets-of-arduino-pwm.html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mail.rsgc.on.ca/~cdarcy/Datasheets/ATmega328P.pdf" TargetMode="External"/><Relationship Id="rId2" Type="http://schemas.openxmlformats.org/officeDocument/2006/relationships/hyperlink" Target="https://mail.rsgc.on.ca/~cdarcy/Datasheets/ATmega328P.pdf" TargetMode="External"/><Relationship Id="rId1" Type="http://schemas.openxmlformats.org/officeDocument/2006/relationships/hyperlink" Target="https://mail.rsgc.on.ca/~cdarcy/Datasheets/ATmega328P.pdf" TargetMode="External"/><Relationship Id="rId4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easycalculation.com/engineering/electrical/avr-timer-calculator.php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hy.mtu.edu/~suits/notefreqs.html" TargetMode="External"/><Relationship Id="rId7" Type="http://schemas.openxmlformats.org/officeDocument/2006/relationships/hyperlink" Target="http://www.phy.mtu.edu/~suits/NoteFreqCalcs.html" TargetMode="External"/><Relationship Id="rId2" Type="http://schemas.openxmlformats.org/officeDocument/2006/relationships/hyperlink" Target="http://www.phy.mtu.edu/~suits/notefreqs.html" TargetMode="External"/><Relationship Id="rId1" Type="http://schemas.openxmlformats.org/officeDocument/2006/relationships/hyperlink" Target="http://www.phy.mtu.edu/~suits/notefreqs.html" TargetMode="External"/><Relationship Id="rId6" Type="http://schemas.openxmlformats.org/officeDocument/2006/relationships/hyperlink" Target="http://mail.rsgc.on.ca/~cdarcy/Datasheets/AVR130.pdf" TargetMode="External"/><Relationship Id="rId5" Type="http://schemas.openxmlformats.org/officeDocument/2006/relationships/hyperlink" Target="http://hyperphysics.phy-astr.gsu.edu/hbase/Sound/earsens.html" TargetMode="External"/><Relationship Id="rId4" Type="http://schemas.openxmlformats.org/officeDocument/2006/relationships/hyperlink" Target="http://www.gcflearnfree.org/excel-tips/how-to-use-excels-vlookup-function/1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darcy.rsgc.on.ca/ACES/TEI4M/Assembly/code/pitches.h" TargetMode="External"/><Relationship Id="rId3" Type="http://schemas.openxmlformats.org/officeDocument/2006/relationships/hyperlink" Target="http://www.phy.mtu.edu/~suits/notefreqs.html" TargetMode="External"/><Relationship Id="rId7" Type="http://schemas.openxmlformats.org/officeDocument/2006/relationships/hyperlink" Target="http://www.phy.mtu.edu/~suits/NoteFreqCalcs.html" TargetMode="External"/><Relationship Id="rId2" Type="http://schemas.openxmlformats.org/officeDocument/2006/relationships/hyperlink" Target="http://www.phy.mtu.edu/~suits/notefreqs.html" TargetMode="External"/><Relationship Id="rId1" Type="http://schemas.openxmlformats.org/officeDocument/2006/relationships/hyperlink" Target="http://www.phy.mtu.edu/~suits/notefreqs.html" TargetMode="External"/><Relationship Id="rId6" Type="http://schemas.openxmlformats.org/officeDocument/2006/relationships/hyperlink" Target="http://mail.rsgc.on.ca/~cdarcy/Datasheets/AVR130.pdf" TargetMode="External"/><Relationship Id="rId5" Type="http://schemas.openxmlformats.org/officeDocument/2006/relationships/hyperlink" Target="http://hyperphysics.phy-astr.gsu.edu/hbase/Sound/earsens.html" TargetMode="External"/><Relationship Id="rId4" Type="http://schemas.openxmlformats.org/officeDocument/2006/relationships/hyperlink" Target="https://www.techonthenet.com/excel/formulas/vlookup.php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garretlab.web.fc2.com/en/arduino/inside/hardware/arduino/avr/cores/arduino/wiring_analog.c/analogWrite.html" TargetMode="External"/><Relationship Id="rId1" Type="http://schemas.openxmlformats.org/officeDocument/2006/relationships/hyperlink" Target="https://wolles-elektronikkiste.de/en/timer-and-pwm-part-1-8-bit-timer0-2" TargetMode="Externa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olles-elektronikkiste.de/en/timer-and-pwm-part-1-8-bit-timer0-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www.righto.com/2009/07/secrets-of-arduino-pwm.html" TargetMode="External"/><Relationship Id="rId1" Type="http://schemas.openxmlformats.org/officeDocument/2006/relationships/hyperlink" Target="http://darcy.rsgc.on.ca/ACES/TEI4M/DolginDevPlatform/images/PWMWorksheet.png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righto.com/2009/07/secrets-of-arduino-pwm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26"/>
  <sheetViews>
    <sheetView showGridLines="0" tabSelected="1" workbookViewId="0">
      <selection activeCell="A5" sqref="A5:D5"/>
    </sheetView>
  </sheetViews>
  <sheetFormatPr defaultRowHeight="15" x14ac:dyDescent="0.25"/>
  <cols>
    <col min="1" max="1" width="20.5703125" style="10" bestFit="1" customWidth="1"/>
  </cols>
  <sheetData>
    <row r="1" spans="1:4" x14ac:dyDescent="0.25">
      <c r="A1" s="140"/>
    </row>
    <row r="2" spans="1:4" x14ac:dyDescent="0.25">
      <c r="A2" s="140"/>
    </row>
    <row r="3" spans="1:4" ht="26.25" x14ac:dyDescent="0.4">
      <c r="A3" s="146" t="s">
        <v>333</v>
      </c>
      <c r="B3" s="146"/>
      <c r="C3" s="146"/>
      <c r="D3" s="146"/>
    </row>
    <row r="4" spans="1:4" ht="18" customHeight="1" x14ac:dyDescent="0.4">
      <c r="A4" s="143"/>
      <c r="B4" s="143"/>
      <c r="C4" s="143"/>
      <c r="D4" s="143"/>
    </row>
    <row r="5" spans="1:4" ht="21" x14ac:dyDescent="0.35">
      <c r="A5" s="145" t="s">
        <v>332</v>
      </c>
      <c r="B5" s="145"/>
      <c r="C5" s="145"/>
      <c r="D5" s="145"/>
    </row>
    <row r="7" spans="1:4" x14ac:dyDescent="0.25">
      <c r="A7" s="10" t="s">
        <v>24</v>
      </c>
      <c r="B7" t="s">
        <v>23</v>
      </c>
    </row>
    <row r="8" spans="1:4" x14ac:dyDescent="0.25">
      <c r="A8" s="10" t="s">
        <v>25</v>
      </c>
      <c r="B8" t="s">
        <v>229</v>
      </c>
    </row>
    <row r="10" spans="1:4" x14ac:dyDescent="0.25">
      <c r="A10" s="10" t="s">
        <v>22</v>
      </c>
      <c r="B10" t="s">
        <v>230</v>
      </c>
    </row>
    <row r="11" spans="1:4" x14ac:dyDescent="0.25">
      <c r="A11" s="10" t="s">
        <v>26</v>
      </c>
      <c r="B11" t="s">
        <v>179</v>
      </c>
    </row>
    <row r="14" spans="1:4" x14ac:dyDescent="0.25">
      <c r="A14" s="10" t="s">
        <v>177</v>
      </c>
      <c r="B14" t="s">
        <v>178</v>
      </c>
    </row>
    <row r="15" spans="1:4" x14ac:dyDescent="0.25">
      <c r="A15" s="10" t="s">
        <v>176</v>
      </c>
      <c r="B15" s="9" t="s">
        <v>363</v>
      </c>
    </row>
    <row r="19" spans="1:2" x14ac:dyDescent="0.25">
      <c r="A19" s="10" t="s">
        <v>200</v>
      </c>
    </row>
    <row r="25" spans="1:2" x14ac:dyDescent="0.25">
      <c r="A25" s="144" t="s">
        <v>355</v>
      </c>
    </row>
    <row r="26" spans="1:2" x14ac:dyDescent="0.25">
      <c r="A26"/>
      <c r="B26" s="14" t="s">
        <v>352</v>
      </c>
    </row>
  </sheetData>
  <mergeCells count="2">
    <mergeCell ref="A5:D5"/>
    <mergeCell ref="A3:D3"/>
  </mergeCells>
  <hyperlinks>
    <hyperlink ref="B26" r:id="rId1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showGridLines="0" zoomScale="120" zoomScaleNormal="120" workbookViewId="0">
      <selection activeCell="C10" sqref="C10"/>
    </sheetView>
  </sheetViews>
  <sheetFormatPr defaultRowHeight="15" x14ac:dyDescent="0.25"/>
  <cols>
    <col min="2" max="2" width="14.85546875" bestFit="1" customWidth="1"/>
    <col min="3" max="3" width="11.42578125" customWidth="1"/>
    <col min="4" max="4" width="24.28515625" bestFit="1" customWidth="1"/>
    <col min="5" max="5" width="7.85546875" customWidth="1"/>
    <col min="6" max="6" width="6.28515625" customWidth="1"/>
    <col min="11" max="11" width="6.42578125" bestFit="1" customWidth="1"/>
    <col min="12" max="12" width="6.28515625" bestFit="1" customWidth="1"/>
    <col min="13" max="13" width="12" bestFit="1" customWidth="1"/>
  </cols>
  <sheetData>
    <row r="1" spans="1:13" x14ac:dyDescent="0.25">
      <c r="A1" s="127"/>
    </row>
    <row r="2" spans="1:13" x14ac:dyDescent="0.25">
      <c r="B2" s="159" t="s">
        <v>317</v>
      </c>
      <c r="C2" s="159"/>
      <c r="D2" s="159"/>
      <c r="E2" s="159"/>
      <c r="G2" s="142" t="s">
        <v>219</v>
      </c>
      <c r="H2" s="142" t="s">
        <v>286</v>
      </c>
      <c r="I2" s="142" t="s">
        <v>287</v>
      </c>
      <c r="L2" s="134"/>
      <c r="M2" s="134"/>
    </row>
    <row r="3" spans="1:13" x14ac:dyDescent="0.25">
      <c r="B3" s="121" t="s">
        <v>11</v>
      </c>
      <c r="C3" s="3">
        <v>16000000</v>
      </c>
      <c r="D3" s="3" t="s">
        <v>15</v>
      </c>
      <c r="E3" s="92" t="s">
        <v>181</v>
      </c>
      <c r="G3" s="80">
        <v>0</v>
      </c>
      <c r="H3" s="80" t="str">
        <f>TEXT(DEC2BIN(G3),"000")</f>
        <v>000</v>
      </c>
      <c r="I3" s="80" t="s">
        <v>296</v>
      </c>
      <c r="K3" s="59"/>
      <c r="L3" s="59"/>
      <c r="M3" s="59"/>
    </row>
    <row r="4" spans="1:13" x14ac:dyDescent="0.25">
      <c r="B4" s="121" t="s">
        <v>12</v>
      </c>
      <c r="C4" s="3">
        <v>8</v>
      </c>
      <c r="D4" s="3" t="s">
        <v>18</v>
      </c>
      <c r="E4" s="92" t="s">
        <v>48</v>
      </c>
      <c r="G4" s="3">
        <v>1</v>
      </c>
      <c r="H4" s="124" t="str">
        <f>TEXT(DEC2BIN(G4),"000")</f>
        <v>001</v>
      </c>
      <c r="I4" s="3">
        <v>1</v>
      </c>
      <c r="L4" s="59"/>
      <c r="M4" s="59"/>
    </row>
    <row r="5" spans="1:13" x14ac:dyDescent="0.25">
      <c r="B5" s="121" t="s">
        <v>5</v>
      </c>
      <c r="C5" s="3">
        <f>C3/C4</f>
        <v>2000000</v>
      </c>
      <c r="D5" s="3" t="s">
        <v>20</v>
      </c>
      <c r="E5" s="92"/>
      <c r="G5" s="3">
        <v>2</v>
      </c>
      <c r="H5" s="124" t="str">
        <f t="shared" ref="H5:H10" si="0">TEXT(DEC2BIN(G5),"000")</f>
        <v>010</v>
      </c>
      <c r="I5" s="3">
        <v>8</v>
      </c>
      <c r="K5" s="59"/>
      <c r="L5" s="59"/>
      <c r="M5" s="59"/>
    </row>
    <row r="6" spans="1:13" x14ac:dyDescent="0.25">
      <c r="B6" s="40" t="s">
        <v>334</v>
      </c>
      <c r="C6" s="41">
        <v>80</v>
      </c>
      <c r="D6" s="41" t="s">
        <v>312</v>
      </c>
      <c r="E6" s="40"/>
      <c r="G6" s="3">
        <v>3</v>
      </c>
      <c r="H6" s="124" t="str">
        <f t="shared" si="0"/>
        <v>011</v>
      </c>
      <c r="I6" s="3">
        <v>32</v>
      </c>
    </row>
    <row r="7" spans="1:13" x14ac:dyDescent="0.25">
      <c r="B7" s="40" t="s">
        <v>288</v>
      </c>
      <c r="C7" s="41">
        <f>C5/C6</f>
        <v>25000</v>
      </c>
      <c r="D7" s="41" t="s">
        <v>225</v>
      </c>
      <c r="E7" s="40"/>
      <c r="G7" s="3">
        <v>4</v>
      </c>
      <c r="H7" s="124" t="str">
        <f t="shared" si="0"/>
        <v>100</v>
      </c>
      <c r="I7" s="3">
        <v>64</v>
      </c>
    </row>
    <row r="8" spans="1:13" x14ac:dyDescent="0.25">
      <c r="B8" s="40" t="s">
        <v>291</v>
      </c>
      <c r="C8" s="41">
        <f>1000/C7</f>
        <v>0.04</v>
      </c>
      <c r="D8" s="41" t="s">
        <v>285</v>
      </c>
      <c r="E8" s="40"/>
      <c r="G8" s="3">
        <v>5</v>
      </c>
      <c r="H8" s="124" t="str">
        <f t="shared" si="0"/>
        <v>101</v>
      </c>
      <c r="I8" s="3">
        <v>128</v>
      </c>
    </row>
    <row r="9" spans="1:13" x14ac:dyDescent="0.25">
      <c r="B9" s="129" t="s">
        <v>314</v>
      </c>
      <c r="C9" s="130">
        <v>40</v>
      </c>
      <c r="D9" s="130" t="s">
        <v>313</v>
      </c>
      <c r="E9" s="129"/>
      <c r="G9" s="3">
        <v>6</v>
      </c>
      <c r="H9" s="124" t="str">
        <f t="shared" si="0"/>
        <v>110</v>
      </c>
      <c r="I9" s="3">
        <v>256</v>
      </c>
    </row>
    <row r="10" spans="1:13" x14ac:dyDescent="0.25">
      <c r="B10" s="129" t="s">
        <v>52</v>
      </c>
      <c r="C10" s="131">
        <f>C9/C6</f>
        <v>0.5</v>
      </c>
      <c r="D10" s="130"/>
      <c r="E10" s="129"/>
      <c r="G10" s="3">
        <v>7</v>
      </c>
      <c r="H10" s="124" t="str">
        <f t="shared" si="0"/>
        <v>111</v>
      </c>
      <c r="I10" s="3">
        <v>1024</v>
      </c>
    </row>
    <row r="11" spans="1:13" x14ac:dyDescent="0.25">
      <c r="B11" s="129" t="s">
        <v>310</v>
      </c>
      <c r="C11" s="133">
        <f>C10*C8</f>
        <v>0.02</v>
      </c>
      <c r="D11" s="130" t="s">
        <v>285</v>
      </c>
      <c r="E11" s="129"/>
      <c r="G11" s="59"/>
      <c r="H11" s="126"/>
      <c r="I11" s="59"/>
    </row>
    <row r="12" spans="1:13" x14ac:dyDescent="0.25">
      <c r="B12" s="11"/>
      <c r="C12" s="7"/>
      <c r="D12" s="7"/>
      <c r="E12" s="7"/>
      <c r="G12" s="161" t="s">
        <v>299</v>
      </c>
      <c r="H12" s="161"/>
      <c r="I12" s="20" t="s">
        <v>300</v>
      </c>
    </row>
    <row r="13" spans="1:13" x14ac:dyDescent="0.25">
      <c r="B13" s="8"/>
    </row>
    <row r="18" spans="1:1" x14ac:dyDescent="0.25">
      <c r="A18" s="119" t="s">
        <v>316</v>
      </c>
    </row>
    <row r="19" spans="1:1" x14ac:dyDescent="0.25">
      <c r="A19" s="135" t="s">
        <v>315</v>
      </c>
    </row>
    <row r="20" spans="1:1" x14ac:dyDescent="0.25">
      <c r="A20" s="135"/>
    </row>
    <row r="21" spans="1:1" x14ac:dyDescent="0.25">
      <c r="A21" t="s">
        <v>360</v>
      </c>
    </row>
    <row r="22" spans="1:1" x14ac:dyDescent="0.25">
      <c r="A22" s="20" t="s">
        <v>362</v>
      </c>
    </row>
    <row r="24" spans="1:1" x14ac:dyDescent="0.25">
      <c r="A24" t="s">
        <v>361</v>
      </c>
    </row>
  </sheetData>
  <mergeCells count="2">
    <mergeCell ref="B2:E2"/>
    <mergeCell ref="G12:H12"/>
  </mergeCells>
  <hyperlinks>
    <hyperlink ref="I12" r:id="rId1"/>
    <hyperlink ref="A19" r:id="rId2"/>
    <hyperlink ref="A22" r:id="rId3"/>
  </hyperlinks>
  <pageMargins left="0.7" right="0.7" top="0.75" bottom="0.75" header="0.3" footer="0.3"/>
  <pageSetup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13"/>
  <sheetViews>
    <sheetView showGridLines="0" zoomScale="170" zoomScaleNormal="170" workbookViewId="0">
      <selection activeCell="B13" sqref="B13"/>
    </sheetView>
  </sheetViews>
  <sheetFormatPr defaultRowHeight="15" x14ac:dyDescent="0.25"/>
  <cols>
    <col min="3" max="3" width="12.5703125" bestFit="1" customWidth="1"/>
    <col min="4" max="4" width="11.42578125" customWidth="1"/>
    <col min="5" max="5" width="22" bestFit="1" customWidth="1"/>
    <col min="6" max="6" width="12.42578125" bestFit="1" customWidth="1"/>
  </cols>
  <sheetData>
    <row r="3" spans="3:6" x14ac:dyDescent="0.25">
      <c r="C3" s="159" t="s">
        <v>272</v>
      </c>
      <c r="D3" s="159"/>
      <c r="E3" s="159"/>
      <c r="F3" s="159"/>
    </row>
    <row r="4" spans="3:6" x14ac:dyDescent="0.25">
      <c r="C4" s="113" t="s">
        <v>11</v>
      </c>
      <c r="D4" s="3">
        <v>16000000</v>
      </c>
      <c r="E4" s="3" t="s">
        <v>1</v>
      </c>
      <c r="F4" s="92" t="s">
        <v>181</v>
      </c>
    </row>
    <row r="5" spans="3:6" x14ac:dyDescent="0.25">
      <c r="C5" s="113" t="s">
        <v>12</v>
      </c>
      <c r="D5" s="3">
        <v>8</v>
      </c>
      <c r="E5" s="3" t="s">
        <v>13</v>
      </c>
      <c r="F5" s="92" t="s">
        <v>48</v>
      </c>
    </row>
    <row r="6" spans="3:6" x14ac:dyDescent="0.25">
      <c r="C6" s="113" t="s">
        <v>5</v>
      </c>
      <c r="D6" s="3">
        <f>D4/D5</f>
        <v>2000000</v>
      </c>
      <c r="E6" s="3" t="s">
        <v>1</v>
      </c>
      <c r="F6" s="3"/>
    </row>
    <row r="7" spans="3:6" x14ac:dyDescent="0.25">
      <c r="C7" s="113" t="s">
        <v>19</v>
      </c>
      <c r="D7" s="3">
        <v>25000</v>
      </c>
      <c r="E7" s="3" t="s">
        <v>270</v>
      </c>
      <c r="F7" s="92"/>
    </row>
    <row r="8" spans="3:6" x14ac:dyDescent="0.25">
      <c r="C8" s="113" t="s">
        <v>231</v>
      </c>
      <c r="D8" s="3">
        <f>D6/D7</f>
        <v>80</v>
      </c>
      <c r="E8" s="3"/>
      <c r="F8" s="92" t="s">
        <v>188</v>
      </c>
    </row>
    <row r="9" spans="3:6" x14ac:dyDescent="0.25">
      <c r="C9" s="113" t="s">
        <v>234</v>
      </c>
      <c r="D9" s="3">
        <v>40</v>
      </c>
      <c r="E9" s="3"/>
      <c r="F9" s="92" t="s">
        <v>39</v>
      </c>
    </row>
    <row r="10" spans="3:6" x14ac:dyDescent="0.25">
      <c r="C10" s="113" t="s">
        <v>52</v>
      </c>
      <c r="D10" s="114">
        <f>D9/D8</f>
        <v>0.5</v>
      </c>
      <c r="E10" s="3"/>
      <c r="F10" s="92" t="s">
        <v>271</v>
      </c>
    </row>
    <row r="11" spans="3:6" x14ac:dyDescent="0.25">
      <c r="C11" s="115" t="s">
        <v>232</v>
      </c>
      <c r="D11" s="1"/>
      <c r="E11" s="1"/>
      <c r="F11" s="1"/>
    </row>
    <row r="12" spans="3:6" x14ac:dyDescent="0.25">
      <c r="C12" s="13" t="s">
        <v>269</v>
      </c>
      <c r="D12" s="1"/>
      <c r="E12" s="1"/>
      <c r="F12" s="1"/>
    </row>
    <row r="13" spans="3:6" x14ac:dyDescent="0.25">
      <c r="C13" s="119" t="s">
        <v>233</v>
      </c>
    </row>
  </sheetData>
  <mergeCells count="1">
    <mergeCell ref="C3:F3"/>
  </mergeCells>
  <hyperlinks>
    <hyperlink ref="C11" r:id="rId1"/>
  </hyperlinks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4"/>
  <sheetViews>
    <sheetView topLeftCell="A4" zoomScale="170" zoomScaleNormal="170" workbookViewId="0">
      <selection activeCell="F10" sqref="F10"/>
    </sheetView>
  </sheetViews>
  <sheetFormatPr defaultRowHeight="15" x14ac:dyDescent="0.25"/>
  <cols>
    <col min="2" max="2" width="5" style="1" customWidth="1"/>
    <col min="4" max="4" width="9.140625" style="120"/>
  </cols>
  <sheetData>
    <row r="2" spans="2:6" x14ac:dyDescent="0.25">
      <c r="F2" s="9" t="s">
        <v>277</v>
      </c>
    </row>
    <row r="3" spans="2:6" x14ac:dyDescent="0.25">
      <c r="E3" s="9" t="s">
        <v>278</v>
      </c>
    </row>
    <row r="5" spans="2:6" s="9" customFormat="1" x14ac:dyDescent="0.25">
      <c r="B5" s="60" t="s">
        <v>281</v>
      </c>
      <c r="C5" s="9" t="s">
        <v>283</v>
      </c>
      <c r="D5" s="13"/>
    </row>
    <row r="6" spans="2:6" s="9" customFormat="1" x14ac:dyDescent="0.25">
      <c r="B6" s="60" t="s">
        <v>282</v>
      </c>
      <c r="C6" s="9" t="s">
        <v>284</v>
      </c>
      <c r="D6" s="13"/>
    </row>
    <row r="7" spans="2:6" s="9" customFormat="1" x14ac:dyDescent="0.25">
      <c r="B7" s="60"/>
      <c r="D7" s="13"/>
    </row>
    <row r="8" spans="2:6" x14ac:dyDescent="0.25">
      <c r="E8" s="1">
        <v>4800</v>
      </c>
      <c r="F8" s="1" t="s">
        <v>279</v>
      </c>
    </row>
    <row r="9" spans="2:6" x14ac:dyDescent="0.25">
      <c r="E9" s="1">
        <f>E8/60</f>
        <v>80</v>
      </c>
      <c r="F9" s="1" t="s">
        <v>273</v>
      </c>
    </row>
    <row r="10" spans="2:6" x14ac:dyDescent="0.25">
      <c r="E10" s="1">
        <f>E9*2</f>
        <v>160</v>
      </c>
      <c r="F10" s="120" t="s">
        <v>274</v>
      </c>
    </row>
    <row r="11" spans="2:6" x14ac:dyDescent="0.25">
      <c r="E11" s="1">
        <f>1/E10</f>
        <v>6.2500000000000003E-3</v>
      </c>
      <c r="F11" s="120" t="s">
        <v>275</v>
      </c>
    </row>
    <row r="12" spans="2:6" x14ac:dyDescent="0.25">
      <c r="E12" s="1">
        <f>E11*1000000</f>
        <v>6250</v>
      </c>
      <c r="F12" s="120" t="s">
        <v>276</v>
      </c>
    </row>
    <row r="14" spans="2:6" x14ac:dyDescent="0.25">
      <c r="D14" t="s">
        <v>280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3"/>
  <sheetViews>
    <sheetView showGridLines="0" zoomScale="170" zoomScaleNormal="170" workbookViewId="0">
      <selection activeCell="B6" sqref="B6"/>
    </sheetView>
  </sheetViews>
  <sheetFormatPr defaultRowHeight="15" x14ac:dyDescent="0.25"/>
  <cols>
    <col min="2" max="2" width="12.28515625" customWidth="1"/>
    <col min="3" max="4" width="10.7109375" customWidth="1"/>
    <col min="10" max="10" width="14.140625" bestFit="1" customWidth="1"/>
  </cols>
  <sheetData>
    <row r="2" spans="2:12" x14ac:dyDescent="0.25">
      <c r="B2" s="159" t="s">
        <v>235</v>
      </c>
      <c r="C2" s="159"/>
      <c r="D2" s="159"/>
      <c r="G2" s="20" t="s">
        <v>244</v>
      </c>
    </row>
    <row r="3" spans="2:12" x14ac:dyDescent="0.25">
      <c r="B3" s="116" t="s">
        <v>236</v>
      </c>
      <c r="C3" s="3">
        <v>16000000</v>
      </c>
      <c r="D3" s="116" t="s">
        <v>238</v>
      </c>
      <c r="G3" s="116" t="s">
        <v>240</v>
      </c>
      <c r="H3" s="116" t="s">
        <v>241</v>
      </c>
      <c r="I3" s="116" t="s">
        <v>242</v>
      </c>
      <c r="J3" s="116" t="s">
        <v>243</v>
      </c>
    </row>
    <row r="4" spans="2:12" x14ac:dyDescent="0.25">
      <c r="B4" s="116" t="s">
        <v>237</v>
      </c>
      <c r="C4" s="3">
        <v>128</v>
      </c>
      <c r="D4" s="116"/>
      <c r="G4" s="3">
        <v>0</v>
      </c>
      <c r="H4" s="3">
        <v>0</v>
      </c>
      <c r="I4" s="3">
        <v>0</v>
      </c>
      <c r="J4" s="3">
        <v>2</v>
      </c>
    </row>
    <row r="5" spans="2:12" x14ac:dyDescent="0.25">
      <c r="B5" s="116" t="s">
        <v>253</v>
      </c>
      <c r="C5" s="116">
        <f>C3/C4/1000</f>
        <v>125</v>
      </c>
      <c r="D5" s="116" t="s">
        <v>239</v>
      </c>
      <c r="G5" s="3">
        <v>0</v>
      </c>
      <c r="H5" s="3">
        <v>0</v>
      </c>
      <c r="I5" s="3">
        <v>1</v>
      </c>
      <c r="J5" s="3">
        <v>2</v>
      </c>
    </row>
    <row r="6" spans="2:12" x14ac:dyDescent="0.25">
      <c r="B6" s="118" t="s">
        <v>254</v>
      </c>
      <c r="G6" s="3">
        <v>0</v>
      </c>
      <c r="H6" s="3">
        <v>1</v>
      </c>
      <c r="I6" s="3">
        <v>0</v>
      </c>
      <c r="J6" s="3">
        <v>4</v>
      </c>
    </row>
    <row r="7" spans="2:12" x14ac:dyDescent="0.25">
      <c r="G7" s="3">
        <v>0</v>
      </c>
      <c r="H7" s="3">
        <v>1</v>
      </c>
      <c r="I7" s="3">
        <v>1</v>
      </c>
      <c r="J7" s="3">
        <v>8</v>
      </c>
    </row>
    <row r="8" spans="2:12" x14ac:dyDescent="0.25">
      <c r="B8" s="20" t="s">
        <v>245</v>
      </c>
      <c r="G8" s="3">
        <v>1</v>
      </c>
      <c r="H8" s="3">
        <v>0</v>
      </c>
      <c r="I8" s="3">
        <v>0</v>
      </c>
      <c r="J8" s="3">
        <v>16</v>
      </c>
    </row>
    <row r="9" spans="2:12" x14ac:dyDescent="0.25">
      <c r="B9" s="116" t="s">
        <v>247</v>
      </c>
      <c r="C9" s="116" t="s">
        <v>246</v>
      </c>
      <c r="D9" s="165" t="s">
        <v>248</v>
      </c>
      <c r="E9" s="167"/>
      <c r="G9" s="3">
        <v>1</v>
      </c>
      <c r="H9" s="3">
        <v>0</v>
      </c>
      <c r="I9" s="3">
        <v>1</v>
      </c>
      <c r="J9" s="3">
        <v>32</v>
      </c>
    </row>
    <row r="10" spans="2:12" x14ac:dyDescent="0.25">
      <c r="B10" s="3">
        <v>0</v>
      </c>
      <c r="C10" s="3">
        <v>0</v>
      </c>
      <c r="D10" s="162" t="s">
        <v>249</v>
      </c>
      <c r="E10" s="164"/>
      <c r="G10" s="3">
        <v>1</v>
      </c>
      <c r="H10" s="3">
        <v>1</v>
      </c>
      <c r="I10" s="3">
        <v>0</v>
      </c>
      <c r="J10" s="3">
        <v>64</v>
      </c>
    </row>
    <row r="11" spans="2:12" x14ac:dyDescent="0.25">
      <c r="B11" s="3">
        <v>0</v>
      </c>
      <c r="C11" s="3">
        <v>1</v>
      </c>
      <c r="D11" s="162" t="s">
        <v>251</v>
      </c>
      <c r="E11" s="164"/>
      <c r="G11" s="3">
        <v>1</v>
      </c>
      <c r="H11" s="3">
        <v>1</v>
      </c>
      <c r="I11" s="3">
        <v>1</v>
      </c>
      <c r="J11" s="3">
        <v>128</v>
      </c>
    </row>
    <row r="12" spans="2:12" x14ac:dyDescent="0.25">
      <c r="B12" s="3">
        <v>1</v>
      </c>
      <c r="C12" s="3">
        <v>0</v>
      </c>
      <c r="D12" s="162" t="s">
        <v>250</v>
      </c>
      <c r="E12" s="164"/>
    </row>
    <row r="13" spans="2:12" x14ac:dyDescent="0.25">
      <c r="B13" s="3">
        <v>1</v>
      </c>
      <c r="C13" s="3">
        <v>1</v>
      </c>
      <c r="D13" s="162" t="s">
        <v>252</v>
      </c>
      <c r="E13" s="164"/>
    </row>
    <row r="14" spans="2:12" x14ac:dyDescent="0.25">
      <c r="B14" t="s">
        <v>255</v>
      </c>
      <c r="G14" s="20" t="s">
        <v>256</v>
      </c>
    </row>
    <row r="15" spans="2:12" x14ac:dyDescent="0.25">
      <c r="G15" s="117" t="s">
        <v>257</v>
      </c>
      <c r="H15" s="117" t="s">
        <v>258</v>
      </c>
      <c r="I15" s="117" t="s">
        <v>259</v>
      </c>
      <c r="J15" s="165" t="s">
        <v>260</v>
      </c>
      <c r="K15" s="166"/>
      <c r="L15" s="167"/>
    </row>
    <row r="16" spans="2:12" x14ac:dyDescent="0.25">
      <c r="G16" s="3">
        <v>0</v>
      </c>
      <c r="H16" s="3">
        <v>0</v>
      </c>
      <c r="I16" s="3">
        <v>0</v>
      </c>
      <c r="J16" s="162" t="s">
        <v>261</v>
      </c>
      <c r="K16" s="163"/>
      <c r="L16" s="164"/>
    </row>
    <row r="17" spans="7:12" x14ac:dyDescent="0.25">
      <c r="G17" s="3">
        <v>0</v>
      </c>
      <c r="H17" s="3">
        <v>0</v>
      </c>
      <c r="I17" s="3">
        <v>1</v>
      </c>
      <c r="J17" s="162" t="s">
        <v>262</v>
      </c>
      <c r="K17" s="163"/>
      <c r="L17" s="164"/>
    </row>
    <row r="18" spans="7:12" x14ac:dyDescent="0.25">
      <c r="G18" s="3">
        <v>0</v>
      </c>
      <c r="H18" s="3">
        <v>1</v>
      </c>
      <c r="I18" s="3">
        <v>0</v>
      </c>
      <c r="J18" s="162" t="s">
        <v>263</v>
      </c>
      <c r="K18" s="163"/>
      <c r="L18" s="164"/>
    </row>
    <row r="19" spans="7:12" x14ac:dyDescent="0.25">
      <c r="G19" s="3">
        <v>0</v>
      </c>
      <c r="H19" s="3">
        <v>1</v>
      </c>
      <c r="I19" s="3">
        <v>1</v>
      </c>
      <c r="J19" s="162" t="s">
        <v>264</v>
      </c>
      <c r="K19" s="163"/>
      <c r="L19" s="164"/>
    </row>
    <row r="20" spans="7:12" x14ac:dyDescent="0.25">
      <c r="G20" s="3">
        <v>1</v>
      </c>
      <c r="H20" s="3">
        <v>0</v>
      </c>
      <c r="I20" s="3">
        <v>0</v>
      </c>
      <c r="J20" s="162" t="s">
        <v>265</v>
      </c>
      <c r="K20" s="163"/>
      <c r="L20" s="164"/>
    </row>
    <row r="21" spans="7:12" x14ac:dyDescent="0.25">
      <c r="G21" s="3">
        <v>1</v>
      </c>
      <c r="H21" s="3">
        <v>0</v>
      </c>
      <c r="I21" s="3">
        <v>1</v>
      </c>
      <c r="J21" s="162" t="s">
        <v>266</v>
      </c>
      <c r="K21" s="163"/>
      <c r="L21" s="164"/>
    </row>
    <row r="22" spans="7:12" x14ac:dyDescent="0.25">
      <c r="G22" s="3">
        <v>1</v>
      </c>
      <c r="H22" s="3">
        <v>1</v>
      </c>
      <c r="I22" s="3">
        <v>0</v>
      </c>
      <c r="J22" s="162" t="s">
        <v>267</v>
      </c>
      <c r="K22" s="163"/>
      <c r="L22" s="164"/>
    </row>
    <row r="23" spans="7:12" x14ac:dyDescent="0.25">
      <c r="G23" s="3">
        <v>1</v>
      </c>
      <c r="H23" s="3">
        <v>1</v>
      </c>
      <c r="I23" s="3">
        <v>1</v>
      </c>
      <c r="J23" s="162" t="s">
        <v>268</v>
      </c>
      <c r="K23" s="163"/>
      <c r="L23" s="164"/>
    </row>
  </sheetData>
  <mergeCells count="15">
    <mergeCell ref="B2:D2"/>
    <mergeCell ref="D9:E9"/>
    <mergeCell ref="D10:E10"/>
    <mergeCell ref="D11:E11"/>
    <mergeCell ref="D12:E12"/>
    <mergeCell ref="D13:E13"/>
    <mergeCell ref="J15:L15"/>
    <mergeCell ref="J16:L16"/>
    <mergeCell ref="J17:L17"/>
    <mergeCell ref="J18:L18"/>
    <mergeCell ref="J19:L19"/>
    <mergeCell ref="J20:L20"/>
    <mergeCell ref="J21:L21"/>
    <mergeCell ref="J22:L22"/>
    <mergeCell ref="J23:L23"/>
  </mergeCells>
  <hyperlinks>
    <hyperlink ref="G2" r:id="rId1"/>
    <hyperlink ref="B8" r:id="rId2"/>
    <hyperlink ref="G14" r:id="rId3"/>
  </hyperlinks>
  <pageMargins left="0.7" right="0.7" top="0.75" bottom="0.75" header="0.3" footer="0.3"/>
  <pageSetup orientation="portrait"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7"/>
  <sheetViews>
    <sheetView showGridLines="0" workbookViewId="0">
      <selection activeCell="G9" sqref="G9"/>
    </sheetView>
  </sheetViews>
  <sheetFormatPr defaultRowHeight="15" x14ac:dyDescent="0.25"/>
  <cols>
    <col min="2" max="2" width="12.140625" style="1" customWidth="1"/>
    <col min="3" max="3" width="9.28515625" style="1" bestFit="1" customWidth="1"/>
    <col min="4" max="4" width="8.5703125" style="1" bestFit="1" customWidth="1"/>
    <col min="5" max="5" width="11.140625" style="1" bestFit="1" customWidth="1"/>
    <col min="6" max="6" width="14" style="1" bestFit="1" customWidth="1"/>
    <col min="7" max="7" width="8.5703125" bestFit="1" customWidth="1"/>
    <col min="8" max="8" width="7.7109375" bestFit="1" customWidth="1"/>
    <col min="9" max="9" width="10.28515625" bestFit="1" customWidth="1"/>
    <col min="10" max="10" width="11.5703125" bestFit="1" customWidth="1"/>
    <col min="11" max="11" width="10.28515625" bestFit="1" customWidth="1"/>
    <col min="12" max="12" width="14.42578125" bestFit="1" customWidth="1"/>
    <col min="13" max="13" width="9.5703125" bestFit="1" customWidth="1"/>
    <col min="14" max="14" width="11.5703125" bestFit="1" customWidth="1"/>
    <col min="15" max="15" width="11" bestFit="1" customWidth="1"/>
  </cols>
  <sheetData>
    <row r="1" spans="2:15" ht="15.75" thickBot="1" x14ac:dyDescent="0.3"/>
    <row r="2" spans="2:15" ht="21.75" thickBot="1" x14ac:dyDescent="0.4">
      <c r="B2" s="154" t="s">
        <v>218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6"/>
    </row>
    <row r="6" spans="2:15" x14ac:dyDescent="0.25">
      <c r="H6" s="110" t="s">
        <v>222</v>
      </c>
      <c r="I6">
        <v>22000</v>
      </c>
    </row>
    <row r="7" spans="2:15" x14ac:dyDescent="0.25">
      <c r="B7" s="92" t="s">
        <v>219</v>
      </c>
      <c r="C7" s="92" t="s">
        <v>220</v>
      </c>
    </row>
    <row r="8" spans="2:15" x14ac:dyDescent="0.25">
      <c r="B8" s="3">
        <v>0</v>
      </c>
      <c r="C8" s="3" t="s">
        <v>204</v>
      </c>
      <c r="F8" s="1" t="s">
        <v>223</v>
      </c>
      <c r="G8" s="1">
        <f>VALUE(LEFT($I$6,1))</f>
        <v>2</v>
      </c>
      <c r="H8" s="1">
        <f>VALUE(LEFT(MID($I$6,2, 50),1))</f>
        <v>2</v>
      </c>
      <c r="I8" s="1">
        <f>LEN($I$6)-2</f>
        <v>3</v>
      </c>
      <c r="J8" t="s">
        <v>216</v>
      </c>
    </row>
    <row r="9" spans="2:15" x14ac:dyDescent="0.25">
      <c r="B9" s="3">
        <v>1</v>
      </c>
      <c r="C9" s="3" t="s">
        <v>205</v>
      </c>
      <c r="F9" s="1" t="s">
        <v>224</v>
      </c>
      <c r="G9" s="1" t="str">
        <f>VLOOKUP(G8,Resistor,2,TRUE)</f>
        <v>Red</v>
      </c>
      <c r="H9" s="1" t="str">
        <f>VLOOKUP(H8,Resistor,2,TRUE)</f>
        <v>Red</v>
      </c>
      <c r="I9" s="1" t="str">
        <f>VLOOKUP(I8,Resistor,2,TRUE)</f>
        <v>Orange</v>
      </c>
    </row>
    <row r="10" spans="2:15" x14ac:dyDescent="0.25">
      <c r="B10" s="3">
        <v>2</v>
      </c>
      <c r="C10" s="3" t="s">
        <v>206</v>
      </c>
    </row>
    <row r="11" spans="2:15" x14ac:dyDescent="0.25">
      <c r="B11" s="3">
        <v>3</v>
      </c>
      <c r="C11" s="3" t="s">
        <v>207</v>
      </c>
    </row>
    <row r="12" spans="2:15" x14ac:dyDescent="0.25">
      <c r="B12" s="3">
        <v>4</v>
      </c>
      <c r="C12" s="3" t="s">
        <v>208</v>
      </c>
    </row>
    <row r="13" spans="2:15" x14ac:dyDescent="0.25">
      <c r="B13" s="3">
        <v>5</v>
      </c>
      <c r="C13" s="3" t="s">
        <v>209</v>
      </c>
    </row>
    <row r="14" spans="2:15" x14ac:dyDescent="0.25">
      <c r="B14" s="3">
        <v>6</v>
      </c>
      <c r="C14" s="3" t="s">
        <v>221</v>
      </c>
    </row>
    <row r="15" spans="2:15" x14ac:dyDescent="0.25">
      <c r="B15" s="3">
        <v>7</v>
      </c>
      <c r="C15" s="3" t="s">
        <v>211</v>
      </c>
    </row>
    <row r="16" spans="2:15" x14ac:dyDescent="0.25">
      <c r="B16" s="3">
        <v>8</v>
      </c>
      <c r="C16" s="3" t="s">
        <v>212</v>
      </c>
    </row>
    <row r="17" spans="2:3" x14ac:dyDescent="0.25">
      <c r="B17" s="3">
        <v>9</v>
      </c>
      <c r="C17" s="3" t="s">
        <v>213</v>
      </c>
    </row>
  </sheetData>
  <mergeCells count="1">
    <mergeCell ref="B2:O2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7"/>
  <sheetViews>
    <sheetView showGridLines="0" workbookViewId="0">
      <selection activeCell="I11" sqref="I11"/>
    </sheetView>
  </sheetViews>
  <sheetFormatPr defaultRowHeight="15" x14ac:dyDescent="0.25"/>
  <cols>
    <col min="2" max="2" width="12.140625" style="1" customWidth="1"/>
    <col min="3" max="3" width="9.28515625" style="1" bestFit="1" customWidth="1"/>
    <col min="4" max="4" width="8.5703125" style="1" bestFit="1" customWidth="1"/>
    <col min="5" max="5" width="11.140625" style="1" bestFit="1" customWidth="1"/>
    <col min="6" max="6" width="14" style="1" bestFit="1" customWidth="1"/>
    <col min="7" max="8" width="19.85546875" customWidth="1"/>
    <col min="9" max="9" width="10.28515625" bestFit="1" customWidth="1"/>
    <col min="10" max="10" width="11.5703125" bestFit="1" customWidth="1"/>
    <col min="11" max="11" width="10.28515625" bestFit="1" customWidth="1"/>
    <col min="12" max="12" width="14.42578125" bestFit="1" customWidth="1"/>
    <col min="13" max="13" width="9.5703125" bestFit="1" customWidth="1"/>
    <col min="14" max="14" width="11.5703125" bestFit="1" customWidth="1"/>
    <col min="15" max="15" width="11" bestFit="1" customWidth="1"/>
  </cols>
  <sheetData>
    <row r="1" spans="2:15" ht="15.75" thickBot="1" x14ac:dyDescent="0.3"/>
    <row r="2" spans="2:15" ht="21.75" thickBot="1" x14ac:dyDescent="0.4">
      <c r="B2" s="154" t="s">
        <v>203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6"/>
    </row>
    <row r="7" spans="2:15" x14ac:dyDescent="0.25">
      <c r="G7" s="1"/>
      <c r="H7" s="1"/>
      <c r="I7" s="1"/>
    </row>
    <row r="8" spans="2:15" x14ac:dyDescent="0.25">
      <c r="B8" s="3">
        <v>0</v>
      </c>
      <c r="C8" s="3" t="s">
        <v>204</v>
      </c>
      <c r="G8" s="60" t="s">
        <v>217</v>
      </c>
      <c r="H8" s="60">
        <v>1000</v>
      </c>
      <c r="I8" s="1"/>
    </row>
    <row r="9" spans="2:15" x14ac:dyDescent="0.25">
      <c r="B9" s="3">
        <v>1</v>
      </c>
      <c r="C9" s="3" t="s">
        <v>205</v>
      </c>
      <c r="G9" s="1"/>
      <c r="H9" s="1"/>
      <c r="I9" s="1"/>
    </row>
    <row r="10" spans="2:15" x14ac:dyDescent="0.25">
      <c r="B10" s="3">
        <v>2</v>
      </c>
      <c r="C10" s="3" t="s">
        <v>206</v>
      </c>
      <c r="G10" s="1" t="s">
        <v>214</v>
      </c>
      <c r="H10" s="1" t="s">
        <v>215</v>
      </c>
      <c r="I10" s="1" t="s">
        <v>216</v>
      </c>
    </row>
    <row r="11" spans="2:15" x14ac:dyDescent="0.25">
      <c r="B11" s="3">
        <v>3</v>
      </c>
      <c r="C11" s="3" t="s">
        <v>207</v>
      </c>
      <c r="G11" s="1">
        <f>VALUE(LEFT(TEXT($H$8,"0"),1))</f>
        <v>1</v>
      </c>
      <c r="H11" s="1">
        <f>VALUE(LEFT(MID(H8,2,50),1))</f>
        <v>0</v>
      </c>
      <c r="I11" s="1">
        <f>LEN(LEFT(MID($H$8,3,50),2))</f>
        <v>2</v>
      </c>
    </row>
    <row r="12" spans="2:15" x14ac:dyDescent="0.25">
      <c r="B12" s="3">
        <v>4</v>
      </c>
      <c r="C12" s="3" t="s">
        <v>208</v>
      </c>
      <c r="G12" s="1" t="str">
        <f>VLOOKUP(G11,Resistors,2,TRUE)</f>
        <v>Brown</v>
      </c>
      <c r="H12" s="1" t="str">
        <f>VLOOKUP(H11,Resistors,2,TRUE)</f>
        <v>Black</v>
      </c>
      <c r="I12" s="1" t="str">
        <f>VLOOKUP(I11,Resistors,2,TRUE)</f>
        <v>Red</v>
      </c>
    </row>
    <row r="13" spans="2:15" x14ac:dyDescent="0.25">
      <c r="B13" s="3">
        <v>5</v>
      </c>
      <c r="C13" s="3" t="s">
        <v>209</v>
      </c>
      <c r="G13" s="1"/>
      <c r="H13" s="1"/>
      <c r="I13" s="1"/>
    </row>
    <row r="14" spans="2:15" x14ac:dyDescent="0.25">
      <c r="B14" s="3">
        <v>6</v>
      </c>
      <c r="C14" s="3" t="s">
        <v>210</v>
      </c>
    </row>
    <row r="15" spans="2:15" x14ac:dyDescent="0.25">
      <c r="B15" s="3">
        <v>7</v>
      </c>
      <c r="C15" s="3" t="s">
        <v>211</v>
      </c>
    </row>
    <row r="16" spans="2:15" x14ac:dyDescent="0.25">
      <c r="B16" s="3">
        <v>8</v>
      </c>
      <c r="C16" s="3" t="s">
        <v>212</v>
      </c>
    </row>
    <row r="17" spans="2:3" x14ac:dyDescent="0.25">
      <c r="B17" s="3">
        <v>9</v>
      </c>
      <c r="C17" s="3" t="s">
        <v>213</v>
      </c>
    </row>
  </sheetData>
  <mergeCells count="1">
    <mergeCell ref="B2:O2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zoomScale="120" zoomScaleNormal="120" workbookViewId="0">
      <selection activeCell="J2" sqref="J2"/>
    </sheetView>
  </sheetViews>
  <sheetFormatPr defaultRowHeight="15" x14ac:dyDescent="0.25"/>
  <cols>
    <col min="9" max="9" width="13" bestFit="1" customWidth="1"/>
    <col min="10" max="10" width="9.7109375" style="1" bestFit="1" customWidth="1"/>
    <col min="11" max="11" width="24.5703125" bestFit="1" customWidth="1"/>
    <col min="12" max="12" width="7.85546875" bestFit="1" customWidth="1"/>
    <col min="13" max="13" width="9.28515625" customWidth="1"/>
  </cols>
  <sheetData>
    <row r="1" spans="1:13" ht="21" x14ac:dyDescent="0.35">
      <c r="A1" s="91" t="s">
        <v>180</v>
      </c>
    </row>
    <row r="3" spans="1:13" x14ac:dyDescent="0.25">
      <c r="J3" s="98">
        <v>63</v>
      </c>
      <c r="K3" s="101" t="s">
        <v>186</v>
      </c>
    </row>
    <row r="4" spans="1:13" x14ac:dyDescent="0.25">
      <c r="M4" s="96"/>
    </row>
    <row r="5" spans="1:13" x14ac:dyDescent="0.25">
      <c r="I5" s="89" t="s">
        <v>11</v>
      </c>
      <c r="J5" s="102">
        <v>16000000</v>
      </c>
      <c r="K5" s="3" t="s">
        <v>185</v>
      </c>
      <c r="L5" s="92" t="s">
        <v>181</v>
      </c>
      <c r="M5" s="97"/>
    </row>
    <row r="6" spans="1:13" x14ac:dyDescent="0.25">
      <c r="I6" s="89" t="s">
        <v>12</v>
      </c>
      <c r="J6" s="100">
        <v>1024</v>
      </c>
      <c r="K6" s="3" t="s">
        <v>18</v>
      </c>
      <c r="L6" s="92" t="s">
        <v>48</v>
      </c>
      <c r="M6" s="97"/>
    </row>
    <row r="7" spans="1:13" x14ac:dyDescent="0.25">
      <c r="I7" s="89" t="s">
        <v>191</v>
      </c>
      <c r="J7" s="99">
        <f>J3*2</f>
        <v>126</v>
      </c>
      <c r="K7" s="3" t="s">
        <v>21</v>
      </c>
      <c r="L7" s="92" t="s">
        <v>182</v>
      </c>
      <c r="M7" s="97"/>
    </row>
    <row r="8" spans="1:13" x14ac:dyDescent="0.25">
      <c r="I8" s="89" t="s">
        <v>184</v>
      </c>
      <c r="J8" s="3">
        <f>J5/(J6*J7)</f>
        <v>124.00793650793651</v>
      </c>
      <c r="K8" s="103" t="s">
        <v>192</v>
      </c>
      <c r="L8" s="92"/>
      <c r="M8" s="97"/>
    </row>
    <row r="9" spans="1:13" x14ac:dyDescent="0.25">
      <c r="I9" s="89" t="s">
        <v>16</v>
      </c>
      <c r="J9" s="3">
        <v>256</v>
      </c>
      <c r="K9" s="92" t="s">
        <v>188</v>
      </c>
      <c r="L9" s="92" t="s">
        <v>49</v>
      </c>
      <c r="M9" s="97"/>
    </row>
    <row r="10" spans="1:13" x14ac:dyDescent="0.25">
      <c r="I10" s="89" t="s">
        <v>187</v>
      </c>
      <c r="J10" s="3">
        <f>J9-INT(J8)</f>
        <v>132</v>
      </c>
      <c r="K10" s="3" t="s">
        <v>189</v>
      </c>
      <c r="L10" s="92"/>
      <c r="M10" s="97"/>
    </row>
    <row r="11" spans="1:13" x14ac:dyDescent="0.25">
      <c r="I11" s="89" t="s">
        <v>183</v>
      </c>
      <c r="J11" s="93">
        <f>INT(J10/J9)</f>
        <v>0</v>
      </c>
      <c r="K11" s="95" t="s">
        <v>190</v>
      </c>
      <c r="L11" s="94"/>
    </row>
  </sheetData>
  <hyperlinks>
    <hyperlink ref="K8" r:id="rId1"/>
  </hyperlink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56"/>
  <sheetViews>
    <sheetView topLeftCell="A10" workbookViewId="0">
      <selection activeCell="L21" sqref="L21"/>
    </sheetView>
  </sheetViews>
  <sheetFormatPr defaultRowHeight="15" x14ac:dyDescent="0.25"/>
  <cols>
    <col min="2" max="2" width="12.140625" style="1" customWidth="1"/>
    <col min="3" max="3" width="6.42578125" style="1" bestFit="1" customWidth="1"/>
    <col min="4" max="4" width="8.5703125" style="1" bestFit="1" customWidth="1"/>
    <col min="5" max="5" width="11.140625" style="1" bestFit="1" customWidth="1"/>
    <col min="6" max="6" width="14" style="1" bestFit="1" customWidth="1"/>
    <col min="7" max="7" width="8.5703125" bestFit="1" customWidth="1"/>
    <col min="8" max="8" width="10.5703125" bestFit="1" customWidth="1"/>
    <col min="9" max="9" width="10.28515625" bestFit="1" customWidth="1"/>
    <col min="10" max="10" width="11.5703125" bestFit="1" customWidth="1"/>
    <col min="11" max="11" width="10.28515625" bestFit="1" customWidth="1"/>
    <col min="12" max="12" width="14.42578125" bestFit="1" customWidth="1"/>
    <col min="13" max="13" width="9.5703125" bestFit="1" customWidth="1"/>
    <col min="14" max="14" width="8.85546875" bestFit="1" customWidth="1"/>
    <col min="15" max="15" width="11" bestFit="1" customWidth="1"/>
  </cols>
  <sheetData>
    <row r="1" spans="2:15" ht="15.75" thickBot="1" x14ac:dyDescent="0.3"/>
    <row r="2" spans="2:15" ht="21.75" thickBot="1" x14ac:dyDescent="0.4">
      <c r="B2" s="168" t="s">
        <v>27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70"/>
    </row>
    <row r="3" spans="2:15" ht="14.25" customHeight="1" x14ac:dyDescent="0.35"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</row>
    <row r="4" spans="2:15" x14ac:dyDescent="0.25">
      <c r="B4" s="13" t="s">
        <v>171</v>
      </c>
    </row>
    <row r="5" spans="2:15" x14ac:dyDescent="0.25">
      <c r="C5" s="10" t="s">
        <v>29</v>
      </c>
      <c r="D5" s="14" t="s">
        <v>30</v>
      </c>
      <c r="H5" s="15"/>
      <c r="I5" s="157"/>
      <c r="J5" s="157"/>
      <c r="K5" s="157"/>
      <c r="L5" s="157"/>
      <c r="M5" s="157"/>
      <c r="N5" s="157"/>
      <c r="O5" s="157"/>
    </row>
    <row r="6" spans="2:15" ht="15.75" thickBot="1" x14ac:dyDescent="0.3">
      <c r="C6" s="10" t="s">
        <v>31</v>
      </c>
      <c r="D6" s="14" t="s">
        <v>32</v>
      </c>
      <c r="H6" s="15"/>
      <c r="I6" s="158"/>
      <c r="J6" s="158"/>
      <c r="K6" s="158"/>
      <c r="L6" s="158"/>
      <c r="M6" s="158"/>
      <c r="N6" s="158"/>
      <c r="O6" s="158"/>
    </row>
    <row r="7" spans="2:15" ht="15.75" thickTop="1" x14ac:dyDescent="0.25">
      <c r="C7" s="10" t="s">
        <v>33</v>
      </c>
      <c r="D7" s="14" t="s">
        <v>34</v>
      </c>
      <c r="H7" s="16"/>
      <c r="I7" s="18"/>
      <c r="J7" s="18"/>
      <c r="K7" s="18"/>
      <c r="L7" s="18"/>
      <c r="M7" s="18"/>
      <c r="N7" s="18"/>
      <c r="O7" s="18"/>
    </row>
    <row r="8" spans="2:15" ht="15.75" thickBot="1" x14ac:dyDescent="0.3">
      <c r="B8" s="19"/>
      <c r="C8" s="10" t="s">
        <v>35</v>
      </c>
      <c r="D8" s="20" t="s">
        <v>36</v>
      </c>
      <c r="H8" s="16"/>
      <c r="I8" s="23"/>
      <c r="J8" s="22"/>
      <c r="K8" s="23"/>
      <c r="L8" s="22"/>
      <c r="M8" s="23"/>
      <c r="N8" s="22"/>
      <c r="O8" s="23"/>
    </row>
    <row r="9" spans="2:15" s="19" customFormat="1" ht="16.5" thickTop="1" thickBot="1" x14ac:dyDescent="0.3">
      <c r="C9" s="10" t="s">
        <v>37</v>
      </c>
      <c r="D9" s="14" t="s">
        <v>38</v>
      </c>
      <c r="H9" s="73"/>
      <c r="I9" s="74" t="s">
        <v>39</v>
      </c>
      <c r="J9" s="25" t="s">
        <v>40</v>
      </c>
      <c r="K9" s="26" t="s">
        <v>39</v>
      </c>
      <c r="L9" s="25" t="s">
        <v>40</v>
      </c>
      <c r="M9" s="26" t="s">
        <v>39</v>
      </c>
      <c r="N9" s="27" t="s">
        <v>40</v>
      </c>
      <c r="O9" s="26" t="s">
        <v>39</v>
      </c>
    </row>
    <row r="10" spans="2:15" ht="16.5" thickTop="1" thickBot="1" x14ac:dyDescent="0.3"/>
    <row r="11" spans="2:15" ht="15.75" thickBot="1" x14ac:dyDescent="0.3">
      <c r="B11" s="147" t="s">
        <v>41</v>
      </c>
      <c r="C11" s="148"/>
      <c r="D11" s="149"/>
      <c r="E11" s="147" t="s">
        <v>42</v>
      </c>
      <c r="F11" s="149"/>
      <c r="G11" s="150" t="s">
        <v>43</v>
      </c>
      <c r="H11" s="151"/>
      <c r="I11" s="151"/>
      <c r="J11" s="151"/>
      <c r="K11" s="151"/>
      <c r="L11" s="151"/>
      <c r="M11" s="151"/>
      <c r="N11" s="151"/>
      <c r="O11" s="152"/>
    </row>
    <row r="12" spans="2:15" x14ac:dyDescent="0.25">
      <c r="B12" s="29" t="s">
        <v>41</v>
      </c>
      <c r="C12" s="29" t="s">
        <v>44</v>
      </c>
      <c r="D12" s="29" t="s">
        <v>45</v>
      </c>
      <c r="E12" s="29" t="s">
        <v>172</v>
      </c>
      <c r="F12" s="29" t="s">
        <v>47</v>
      </c>
      <c r="G12" s="29" t="s">
        <v>173</v>
      </c>
      <c r="H12" s="29" t="s">
        <v>49</v>
      </c>
      <c r="I12" s="29" t="s">
        <v>50</v>
      </c>
      <c r="J12" s="29" t="s">
        <v>51</v>
      </c>
      <c r="K12" s="29" t="s">
        <v>52</v>
      </c>
      <c r="L12" s="29" t="s">
        <v>53</v>
      </c>
      <c r="M12" s="29" t="s">
        <v>47</v>
      </c>
      <c r="N12" s="29" t="s">
        <v>54</v>
      </c>
      <c r="O12" s="29" t="s">
        <v>174</v>
      </c>
    </row>
    <row r="13" spans="2:15" x14ac:dyDescent="0.25">
      <c r="B13" s="32">
        <v>0</v>
      </c>
      <c r="C13" s="32">
        <v>0</v>
      </c>
      <c r="D13" s="32" t="s">
        <v>56</v>
      </c>
      <c r="E13" s="33">
        <v>16000000</v>
      </c>
      <c r="F13" s="34">
        <f>1/E13</f>
        <v>6.2499999999999997E-8</v>
      </c>
      <c r="G13" s="32">
        <v>1</v>
      </c>
      <c r="H13" s="33">
        <v>256</v>
      </c>
      <c r="I13" s="33">
        <v>0</v>
      </c>
      <c r="J13" s="33">
        <f>2</f>
        <v>2</v>
      </c>
      <c r="K13" s="35">
        <v>0.5</v>
      </c>
      <c r="L13" s="75">
        <f t="shared" ref="L13:L18" si="0">E13/G13/(H13-I13)/J13</f>
        <v>31250</v>
      </c>
      <c r="M13" s="37">
        <f>1/L13</f>
        <v>3.1999999999999999E-5</v>
      </c>
      <c r="N13" s="34" t="str">
        <f t="shared" ref="N13:N29" si="1">IF(AND(L13&gt;20,L13&lt;20000),VLOOKUP(L13,NoteTable,2,TRUE),"?")</f>
        <v>?</v>
      </c>
      <c r="O13" s="34" t="str">
        <f>IF(AND(L13&gt;20,L13&lt;20000),"Yes","No")</f>
        <v>No</v>
      </c>
    </row>
    <row r="14" spans="2:15" x14ac:dyDescent="0.25">
      <c r="B14" s="32">
        <v>0</v>
      </c>
      <c r="C14" s="32">
        <v>0</v>
      </c>
      <c r="D14" s="32" t="s">
        <v>56</v>
      </c>
      <c r="E14" s="33">
        <v>16000000</v>
      </c>
      <c r="F14" s="34">
        <f t="shared" ref="F14:F29" si="2">1/E14</f>
        <v>6.2499999999999997E-8</v>
      </c>
      <c r="G14" s="32">
        <v>8</v>
      </c>
      <c r="H14" s="33">
        <v>256</v>
      </c>
      <c r="I14" s="33">
        <v>0</v>
      </c>
      <c r="J14" s="33">
        <f>2</f>
        <v>2</v>
      </c>
      <c r="K14" s="35">
        <v>0.5</v>
      </c>
      <c r="L14" s="75">
        <f t="shared" si="0"/>
        <v>3906.25</v>
      </c>
      <c r="M14" s="37">
        <f t="shared" ref="M14:M29" si="3">1/L14</f>
        <v>2.5599999999999999E-4</v>
      </c>
      <c r="N14" s="34" t="str">
        <f t="shared" si="1"/>
        <v>A#7/Bb7</v>
      </c>
      <c r="O14" s="34" t="str">
        <f t="shared" ref="O14:O29" si="4">IF(AND(L14&gt;20,L14&lt;20000),"Yes","No")</f>
        <v>Yes</v>
      </c>
    </row>
    <row r="15" spans="2:15" x14ac:dyDescent="0.25">
      <c r="B15" s="32">
        <v>0</v>
      </c>
      <c r="C15" s="32">
        <v>0</v>
      </c>
      <c r="D15" s="32" t="s">
        <v>56</v>
      </c>
      <c r="E15" s="33">
        <v>16000000</v>
      </c>
      <c r="F15" s="34">
        <f t="shared" si="2"/>
        <v>6.2499999999999997E-8</v>
      </c>
      <c r="G15" s="32">
        <v>64</v>
      </c>
      <c r="H15" s="33">
        <v>256</v>
      </c>
      <c r="I15" s="33">
        <v>0</v>
      </c>
      <c r="J15" s="33">
        <f>2</f>
        <v>2</v>
      </c>
      <c r="K15" s="35">
        <v>0.5</v>
      </c>
      <c r="L15" s="75">
        <f t="shared" si="0"/>
        <v>488.28125</v>
      </c>
      <c r="M15" s="37">
        <f t="shared" si="3"/>
        <v>2.0479999999999999E-3</v>
      </c>
      <c r="N15" s="34" t="str">
        <f t="shared" si="1"/>
        <v>A#4/Bb4</v>
      </c>
      <c r="O15" s="34" t="str">
        <f t="shared" si="4"/>
        <v>Yes</v>
      </c>
    </row>
    <row r="16" spans="2:15" x14ac:dyDescent="0.25">
      <c r="B16" s="32">
        <v>0</v>
      </c>
      <c r="C16" s="32">
        <v>0</v>
      </c>
      <c r="D16" s="32" t="s">
        <v>56</v>
      </c>
      <c r="E16" s="33">
        <v>16000000</v>
      </c>
      <c r="F16" s="34">
        <f t="shared" si="2"/>
        <v>6.2499999999999997E-8</v>
      </c>
      <c r="G16" s="32">
        <v>256</v>
      </c>
      <c r="H16" s="33">
        <v>256</v>
      </c>
      <c r="I16" s="33">
        <v>0</v>
      </c>
      <c r="J16" s="33">
        <f>2</f>
        <v>2</v>
      </c>
      <c r="K16" s="35">
        <v>0.5</v>
      </c>
      <c r="L16" s="75">
        <f t="shared" si="0"/>
        <v>122.0703125</v>
      </c>
      <c r="M16" s="37">
        <f t="shared" si="3"/>
        <v>8.1919999999999996E-3</v>
      </c>
      <c r="N16" s="34" t="str">
        <f t="shared" si="1"/>
        <v>A#2/Bb2</v>
      </c>
      <c r="O16" s="34" t="str">
        <f t="shared" si="4"/>
        <v>Yes</v>
      </c>
    </row>
    <row r="17" spans="2:15" x14ac:dyDescent="0.25">
      <c r="B17" s="32">
        <v>0</v>
      </c>
      <c r="C17" s="32">
        <v>0</v>
      </c>
      <c r="D17" s="32" t="s">
        <v>56</v>
      </c>
      <c r="E17" s="33">
        <v>16000000</v>
      </c>
      <c r="F17" s="34">
        <f t="shared" si="2"/>
        <v>6.2499999999999997E-8</v>
      </c>
      <c r="G17" s="32">
        <v>1024</v>
      </c>
      <c r="H17" s="33">
        <v>256</v>
      </c>
      <c r="I17" s="33">
        <v>0</v>
      </c>
      <c r="J17" s="33">
        <f>2</f>
        <v>2</v>
      </c>
      <c r="K17" s="35">
        <v>0.5</v>
      </c>
      <c r="L17" s="75">
        <f t="shared" si="0"/>
        <v>30.517578125</v>
      </c>
      <c r="M17" s="37">
        <f t="shared" si="3"/>
        <v>3.2767999999999999E-2</v>
      </c>
      <c r="N17" s="34" t="str">
        <f t="shared" si="1"/>
        <v>A#1/Bb1</v>
      </c>
      <c r="O17" s="34" t="str">
        <f t="shared" si="4"/>
        <v>Yes</v>
      </c>
    </row>
    <row r="18" spans="2:15" x14ac:dyDescent="0.25">
      <c r="B18" s="40">
        <v>1</v>
      </c>
      <c r="C18" s="40">
        <v>0</v>
      </c>
      <c r="D18" s="40" t="s">
        <v>56</v>
      </c>
      <c r="E18" s="41">
        <v>16000000</v>
      </c>
      <c r="F18" s="42">
        <f t="shared" si="2"/>
        <v>6.2499999999999997E-8</v>
      </c>
      <c r="G18" s="40">
        <v>1</v>
      </c>
      <c r="H18" s="41">
        <v>65536</v>
      </c>
      <c r="I18" s="41">
        <v>0</v>
      </c>
      <c r="J18" s="41">
        <f>2</f>
        <v>2</v>
      </c>
      <c r="K18" s="43">
        <v>0.5</v>
      </c>
      <c r="L18" s="76">
        <f t="shared" si="0"/>
        <v>122.0703125</v>
      </c>
      <c r="M18" s="45">
        <f t="shared" si="3"/>
        <v>8.1919999999999996E-3</v>
      </c>
      <c r="N18" s="42" t="str">
        <f t="shared" si="1"/>
        <v>A#2/Bb2</v>
      </c>
      <c r="O18" s="42" t="str">
        <f t="shared" si="4"/>
        <v>Yes</v>
      </c>
    </row>
    <row r="19" spans="2:15" x14ac:dyDescent="0.25">
      <c r="B19" s="40">
        <v>1</v>
      </c>
      <c r="C19" s="40">
        <v>0</v>
      </c>
      <c r="D19" s="40" t="s">
        <v>56</v>
      </c>
      <c r="E19" s="41">
        <v>16000000</v>
      </c>
      <c r="F19" s="42">
        <f t="shared" si="2"/>
        <v>6.2499999999999997E-8</v>
      </c>
      <c r="G19" s="40">
        <v>8</v>
      </c>
      <c r="H19" s="41">
        <v>65536</v>
      </c>
      <c r="I19" s="41">
        <v>0</v>
      </c>
      <c r="J19" s="41">
        <f>2</f>
        <v>2</v>
      </c>
      <c r="K19" s="43">
        <v>0.5</v>
      </c>
      <c r="L19" s="76">
        <f t="shared" ref="L19:L29" si="5">E19/G19/(H19-I19)/J19</f>
        <v>15.2587890625</v>
      </c>
      <c r="M19" s="45">
        <f t="shared" si="3"/>
        <v>6.5535999999999997E-2</v>
      </c>
      <c r="N19" s="42" t="str">
        <f t="shared" si="1"/>
        <v>?</v>
      </c>
      <c r="O19" s="42" t="str">
        <f t="shared" si="4"/>
        <v>No</v>
      </c>
    </row>
    <row r="20" spans="2:15" x14ac:dyDescent="0.25">
      <c r="B20" s="40">
        <v>1</v>
      </c>
      <c r="C20" s="40">
        <v>0</v>
      </c>
      <c r="D20" s="40" t="s">
        <v>56</v>
      </c>
      <c r="E20" s="41">
        <v>16000000</v>
      </c>
      <c r="F20" s="42">
        <f t="shared" si="2"/>
        <v>6.2499999999999997E-8</v>
      </c>
      <c r="G20" s="40">
        <v>64</v>
      </c>
      <c r="H20" s="41">
        <v>65536</v>
      </c>
      <c r="I20" s="41">
        <v>0</v>
      </c>
      <c r="J20" s="41">
        <f>2</f>
        <v>2</v>
      </c>
      <c r="K20" s="43">
        <v>0.5</v>
      </c>
      <c r="L20" s="76">
        <f t="shared" si="5"/>
        <v>1.9073486328125</v>
      </c>
      <c r="M20" s="45">
        <f t="shared" si="3"/>
        <v>0.52428799999999998</v>
      </c>
      <c r="N20" s="42" t="str">
        <f t="shared" si="1"/>
        <v>?</v>
      </c>
      <c r="O20" s="42" t="str">
        <f t="shared" si="4"/>
        <v>No</v>
      </c>
    </row>
    <row r="21" spans="2:15" x14ac:dyDescent="0.25">
      <c r="B21" s="40">
        <v>1</v>
      </c>
      <c r="C21" s="40">
        <v>0</v>
      </c>
      <c r="D21" s="40" t="s">
        <v>56</v>
      </c>
      <c r="E21" s="41">
        <v>16000000</v>
      </c>
      <c r="F21" s="42">
        <f t="shared" si="2"/>
        <v>6.2499999999999997E-8</v>
      </c>
      <c r="G21" s="40">
        <v>256</v>
      </c>
      <c r="H21" s="41">
        <v>65536</v>
      </c>
      <c r="I21" s="41">
        <v>0</v>
      </c>
      <c r="J21" s="41">
        <f>2</f>
        <v>2</v>
      </c>
      <c r="K21" s="43">
        <v>0.5</v>
      </c>
      <c r="L21" s="76">
        <f t="shared" si="5"/>
        <v>0.476837158203125</v>
      </c>
      <c r="M21" s="45">
        <f t="shared" si="3"/>
        <v>2.0971519999999999</v>
      </c>
      <c r="N21" s="42" t="str">
        <f t="shared" si="1"/>
        <v>?</v>
      </c>
      <c r="O21" s="42" t="str">
        <f t="shared" si="4"/>
        <v>No</v>
      </c>
    </row>
    <row r="22" spans="2:15" x14ac:dyDescent="0.25">
      <c r="B22" s="40">
        <v>1</v>
      </c>
      <c r="C22" s="40">
        <v>0</v>
      </c>
      <c r="D22" s="40" t="s">
        <v>56</v>
      </c>
      <c r="E22" s="41">
        <v>16000000</v>
      </c>
      <c r="F22" s="42">
        <f t="shared" si="2"/>
        <v>6.2499999999999997E-8</v>
      </c>
      <c r="G22" s="40">
        <v>1024</v>
      </c>
      <c r="H22" s="41">
        <v>65536</v>
      </c>
      <c r="I22" s="41">
        <v>0</v>
      </c>
      <c r="J22" s="41">
        <f>2</f>
        <v>2</v>
      </c>
      <c r="K22" s="43">
        <v>0.5</v>
      </c>
      <c r="L22" s="76">
        <f t="shared" si="5"/>
        <v>0.11920928955078125</v>
      </c>
      <c r="M22" s="45">
        <f t="shared" si="3"/>
        <v>8.3886079999999996</v>
      </c>
      <c r="N22" s="42" t="str">
        <f t="shared" si="1"/>
        <v>?</v>
      </c>
      <c r="O22" s="42" t="str">
        <f t="shared" si="4"/>
        <v>No</v>
      </c>
    </row>
    <row r="23" spans="2:15" x14ac:dyDescent="0.25">
      <c r="B23" s="48">
        <v>2</v>
      </c>
      <c r="C23" s="48">
        <v>0</v>
      </c>
      <c r="D23" s="48" t="s">
        <v>56</v>
      </c>
      <c r="E23" s="49">
        <v>16000000</v>
      </c>
      <c r="F23" s="50">
        <f t="shared" si="2"/>
        <v>6.2499999999999997E-8</v>
      </c>
      <c r="G23" s="48">
        <v>1</v>
      </c>
      <c r="H23" s="49">
        <v>256</v>
      </c>
      <c r="I23" s="49">
        <v>0</v>
      </c>
      <c r="J23" s="49">
        <f>2</f>
        <v>2</v>
      </c>
      <c r="K23" s="51">
        <v>0.5</v>
      </c>
      <c r="L23" s="77">
        <f t="shared" si="5"/>
        <v>31250</v>
      </c>
      <c r="M23" s="53">
        <f t="shared" si="3"/>
        <v>3.1999999999999999E-5</v>
      </c>
      <c r="N23" s="50" t="str">
        <f t="shared" si="1"/>
        <v>?</v>
      </c>
      <c r="O23" s="50" t="str">
        <f t="shared" si="4"/>
        <v>No</v>
      </c>
    </row>
    <row r="24" spans="2:15" x14ac:dyDescent="0.25">
      <c r="B24" s="48">
        <v>2</v>
      </c>
      <c r="C24" s="48">
        <v>0</v>
      </c>
      <c r="D24" s="48" t="s">
        <v>56</v>
      </c>
      <c r="E24" s="49">
        <v>16000000</v>
      </c>
      <c r="F24" s="50">
        <f t="shared" si="2"/>
        <v>6.2499999999999997E-8</v>
      </c>
      <c r="G24" s="48">
        <v>8</v>
      </c>
      <c r="H24" s="49">
        <v>256</v>
      </c>
      <c r="I24" s="49">
        <v>0</v>
      </c>
      <c r="J24" s="49">
        <f>2</f>
        <v>2</v>
      </c>
      <c r="K24" s="51">
        <v>0.5</v>
      </c>
      <c r="L24" s="77">
        <f t="shared" si="5"/>
        <v>3906.25</v>
      </c>
      <c r="M24" s="53">
        <f t="shared" si="3"/>
        <v>2.5599999999999999E-4</v>
      </c>
      <c r="N24" s="50" t="str">
        <f t="shared" si="1"/>
        <v>A#7/Bb7</v>
      </c>
      <c r="O24" s="50" t="str">
        <f t="shared" si="4"/>
        <v>Yes</v>
      </c>
    </row>
    <row r="25" spans="2:15" x14ac:dyDescent="0.25">
      <c r="B25" s="48">
        <v>2</v>
      </c>
      <c r="C25" s="48">
        <v>0</v>
      </c>
      <c r="D25" s="48" t="s">
        <v>56</v>
      </c>
      <c r="E25" s="49">
        <v>16000000</v>
      </c>
      <c r="F25" s="50">
        <f t="shared" si="2"/>
        <v>6.2499999999999997E-8</v>
      </c>
      <c r="G25" s="48">
        <v>32</v>
      </c>
      <c r="H25" s="49">
        <v>256</v>
      </c>
      <c r="I25" s="49">
        <v>0</v>
      </c>
      <c r="J25" s="49">
        <f>2</f>
        <v>2</v>
      </c>
      <c r="K25" s="51">
        <v>0.5</v>
      </c>
      <c r="L25" s="77">
        <f t="shared" si="5"/>
        <v>976.5625</v>
      </c>
      <c r="M25" s="53">
        <f t="shared" si="3"/>
        <v>1.024E-3</v>
      </c>
      <c r="N25" s="50" t="str">
        <f t="shared" si="1"/>
        <v>A#5/Bb5</v>
      </c>
      <c r="O25" s="50" t="str">
        <f t="shared" si="4"/>
        <v>Yes</v>
      </c>
    </row>
    <row r="26" spans="2:15" x14ac:dyDescent="0.25">
      <c r="B26" s="48">
        <v>2</v>
      </c>
      <c r="C26" s="48">
        <v>0</v>
      </c>
      <c r="D26" s="48" t="s">
        <v>56</v>
      </c>
      <c r="E26" s="49">
        <v>16000000</v>
      </c>
      <c r="F26" s="50">
        <f t="shared" si="2"/>
        <v>6.2499999999999997E-8</v>
      </c>
      <c r="G26" s="48">
        <v>64</v>
      </c>
      <c r="H26" s="49">
        <v>256</v>
      </c>
      <c r="I26" s="49">
        <v>0</v>
      </c>
      <c r="J26" s="49">
        <f>2</f>
        <v>2</v>
      </c>
      <c r="K26" s="51">
        <v>0.5</v>
      </c>
      <c r="L26" s="77">
        <f t="shared" si="5"/>
        <v>488.28125</v>
      </c>
      <c r="M26" s="53">
        <f t="shared" si="3"/>
        <v>2.0479999999999999E-3</v>
      </c>
      <c r="N26" s="50" t="str">
        <f t="shared" si="1"/>
        <v>A#4/Bb4</v>
      </c>
      <c r="O26" s="50" t="str">
        <f t="shared" si="4"/>
        <v>Yes</v>
      </c>
    </row>
    <row r="27" spans="2:15" x14ac:dyDescent="0.25">
      <c r="B27" s="48">
        <v>2</v>
      </c>
      <c r="C27" s="48">
        <v>0</v>
      </c>
      <c r="D27" s="48" t="s">
        <v>56</v>
      </c>
      <c r="E27" s="49">
        <v>16000000</v>
      </c>
      <c r="F27" s="50">
        <f t="shared" si="2"/>
        <v>6.2499999999999997E-8</v>
      </c>
      <c r="G27" s="48">
        <v>128</v>
      </c>
      <c r="H27" s="49">
        <v>256</v>
      </c>
      <c r="I27" s="49">
        <v>0</v>
      </c>
      <c r="J27" s="49">
        <f>2</f>
        <v>2</v>
      </c>
      <c r="K27" s="51">
        <v>0.5</v>
      </c>
      <c r="L27" s="77">
        <f t="shared" si="5"/>
        <v>244.140625</v>
      </c>
      <c r="M27" s="53">
        <f t="shared" si="3"/>
        <v>4.0959999999999998E-3</v>
      </c>
      <c r="N27" s="50" t="str">
        <f t="shared" si="1"/>
        <v>A#3/Bb3</v>
      </c>
      <c r="O27" s="50" t="str">
        <f t="shared" si="4"/>
        <v>Yes</v>
      </c>
    </row>
    <row r="28" spans="2:15" x14ac:dyDescent="0.25">
      <c r="B28" s="48">
        <v>2</v>
      </c>
      <c r="C28" s="48">
        <v>0</v>
      </c>
      <c r="D28" s="48" t="s">
        <v>56</v>
      </c>
      <c r="E28" s="49">
        <v>16000000</v>
      </c>
      <c r="F28" s="50">
        <f t="shared" si="2"/>
        <v>6.2499999999999997E-8</v>
      </c>
      <c r="G28" s="48">
        <v>256</v>
      </c>
      <c r="H28" s="49">
        <v>256</v>
      </c>
      <c r="I28" s="49">
        <v>0</v>
      </c>
      <c r="J28" s="49">
        <f>2</f>
        <v>2</v>
      </c>
      <c r="K28" s="51">
        <v>0.5</v>
      </c>
      <c r="L28" s="77">
        <f t="shared" si="5"/>
        <v>122.0703125</v>
      </c>
      <c r="M28" s="53">
        <f t="shared" si="3"/>
        <v>8.1919999999999996E-3</v>
      </c>
      <c r="N28" s="50" t="str">
        <f t="shared" si="1"/>
        <v>A#2/Bb2</v>
      </c>
      <c r="O28" s="50" t="str">
        <f t="shared" si="4"/>
        <v>Yes</v>
      </c>
    </row>
    <row r="29" spans="2:15" x14ac:dyDescent="0.25">
      <c r="B29" s="48">
        <v>2</v>
      </c>
      <c r="C29" s="48">
        <v>0</v>
      </c>
      <c r="D29" s="48" t="s">
        <v>56</v>
      </c>
      <c r="E29" s="49">
        <v>16000000</v>
      </c>
      <c r="F29" s="50">
        <f t="shared" si="2"/>
        <v>6.2499999999999997E-8</v>
      </c>
      <c r="G29" s="48">
        <v>1024</v>
      </c>
      <c r="H29" s="49">
        <v>256</v>
      </c>
      <c r="I29" s="49">
        <v>0</v>
      </c>
      <c r="J29" s="49">
        <f>2</f>
        <v>2</v>
      </c>
      <c r="K29" s="51">
        <v>0.5</v>
      </c>
      <c r="L29" s="77">
        <f t="shared" si="5"/>
        <v>30.517578125</v>
      </c>
      <c r="M29" s="53">
        <f t="shared" si="3"/>
        <v>3.2767999999999999E-2</v>
      </c>
      <c r="N29" s="50" t="str">
        <f t="shared" si="1"/>
        <v>A#1/Bb1</v>
      </c>
      <c r="O29" s="50" t="str">
        <f t="shared" si="4"/>
        <v>Yes</v>
      </c>
    </row>
    <row r="30" spans="2:15" x14ac:dyDescent="0.25">
      <c r="F30" s="59"/>
      <c r="N30" s="13" t="s">
        <v>57</v>
      </c>
      <c r="O30" s="9" t="s">
        <v>58</v>
      </c>
    </row>
    <row r="31" spans="2:15" s="9" customFormat="1" x14ac:dyDescent="0.25">
      <c r="B31" s="159" t="s">
        <v>59</v>
      </c>
      <c r="C31" s="159"/>
      <c r="D31" s="159"/>
      <c r="E31" s="60"/>
      <c r="F31" s="61" t="s">
        <v>60</v>
      </c>
      <c r="G31" s="60">
        <v>432</v>
      </c>
      <c r="H31" s="60" t="s">
        <v>61</v>
      </c>
      <c r="I31" s="14" t="s">
        <v>30</v>
      </c>
    </row>
    <row r="32" spans="2:15" s="9" customFormat="1" x14ac:dyDescent="0.25">
      <c r="B32" s="5" t="s">
        <v>62</v>
      </c>
      <c r="C32" s="5" t="s">
        <v>63</v>
      </c>
      <c r="D32" s="5" t="s">
        <v>64</v>
      </c>
      <c r="E32" s="60"/>
      <c r="F32" s="63" t="s">
        <v>65</v>
      </c>
      <c r="G32" s="9">
        <f>2^(1/12)</f>
        <v>1.0594630943592953</v>
      </c>
    </row>
    <row r="33" spans="2:6" s="9" customFormat="1" x14ac:dyDescent="0.25">
      <c r="B33" s="78">
        <v>-57</v>
      </c>
      <c r="C33" s="79">
        <f t="shared" ref="C33:C96" si="6">$G$31*$G$32^B33</f>
        <v>16.054296052536724</v>
      </c>
      <c r="D33" s="80" t="s">
        <v>66</v>
      </c>
      <c r="E33" s="60"/>
      <c r="F33" s="63"/>
    </row>
    <row r="34" spans="2:6" s="9" customFormat="1" x14ac:dyDescent="0.25">
      <c r="B34" s="78">
        <v>-56</v>
      </c>
      <c r="C34" s="79">
        <f t="shared" si="6"/>
        <v>17.008934173580776</v>
      </c>
      <c r="D34" s="80" t="s">
        <v>67</v>
      </c>
      <c r="E34" s="60"/>
      <c r="F34" s="63"/>
    </row>
    <row r="35" spans="2:6" s="9" customFormat="1" x14ac:dyDescent="0.25">
      <c r="B35" s="78">
        <v>-55</v>
      </c>
      <c r="C35" s="79">
        <f t="shared" si="6"/>
        <v>18.020338031295449</v>
      </c>
      <c r="D35" s="80" t="s">
        <v>68</v>
      </c>
      <c r="E35" s="60"/>
      <c r="F35" s="63"/>
    </row>
    <row r="36" spans="2:6" s="9" customFormat="1" x14ac:dyDescent="0.25">
      <c r="B36" s="78">
        <v>-54</v>
      </c>
      <c r="C36" s="79">
        <f t="shared" si="6"/>
        <v>19.091883092036774</v>
      </c>
      <c r="D36" s="80" t="s">
        <v>69</v>
      </c>
      <c r="E36" s="60"/>
      <c r="F36" s="63"/>
    </row>
    <row r="37" spans="2:6" s="9" customFormat="1" x14ac:dyDescent="0.25">
      <c r="B37" s="78">
        <v>-53</v>
      </c>
      <c r="C37" s="79">
        <f t="shared" si="6"/>
        <v>20.227145537835192</v>
      </c>
      <c r="D37" s="80" t="s">
        <v>70</v>
      </c>
      <c r="E37" s="60"/>
      <c r="F37" s="63"/>
    </row>
    <row r="38" spans="2:6" s="9" customFormat="1" x14ac:dyDescent="0.25">
      <c r="B38" s="78">
        <v>-52</v>
      </c>
      <c r="C38" s="79">
        <f t="shared" si="6"/>
        <v>21.429914201570682</v>
      </c>
      <c r="D38" s="80" t="s">
        <v>71</v>
      </c>
      <c r="E38" s="60"/>
      <c r="F38" s="63"/>
    </row>
    <row r="39" spans="2:6" s="9" customFormat="1" x14ac:dyDescent="0.25">
      <c r="B39" s="78">
        <v>-51</v>
      </c>
      <c r="C39" s="79">
        <f t="shared" si="6"/>
        <v>22.704203211850277</v>
      </c>
      <c r="D39" s="80" t="s">
        <v>72</v>
      </c>
      <c r="E39" s="60"/>
      <c r="F39" s="63"/>
    </row>
    <row r="40" spans="2:6" s="9" customFormat="1" x14ac:dyDescent="0.25">
      <c r="B40" s="78">
        <v>-50</v>
      </c>
      <c r="C40" s="79">
        <f t="shared" si="6"/>
        <v>24.054265389789144</v>
      </c>
      <c r="D40" s="80" t="s">
        <v>73</v>
      </c>
      <c r="E40" s="60"/>
      <c r="F40" s="63"/>
    </row>
    <row r="41" spans="2:6" s="9" customFormat="1" x14ac:dyDescent="0.25">
      <c r="B41" s="78">
        <v>-49</v>
      </c>
      <c r="C41" s="79">
        <f t="shared" si="6"/>
        <v>25.484606442405713</v>
      </c>
      <c r="D41" s="80" t="s">
        <v>74</v>
      </c>
      <c r="E41" s="60"/>
      <c r="F41" s="63"/>
    </row>
    <row r="42" spans="2:6" s="9" customFormat="1" x14ac:dyDescent="0.25">
      <c r="B42" s="78">
        <v>-48</v>
      </c>
      <c r="C42" s="79">
        <f t="shared" si="6"/>
        <v>26.999999999999989</v>
      </c>
      <c r="D42" s="80" t="s">
        <v>75</v>
      </c>
      <c r="E42" s="60"/>
      <c r="F42" s="63"/>
    </row>
    <row r="43" spans="2:6" s="9" customFormat="1" x14ac:dyDescent="0.25">
      <c r="B43" s="78">
        <v>-47</v>
      </c>
      <c r="C43" s="79">
        <f t="shared" si="6"/>
        <v>28.605503547700955</v>
      </c>
      <c r="D43" s="80" t="s">
        <v>76</v>
      </c>
      <c r="E43" s="60"/>
      <c r="F43" s="63"/>
    </row>
    <row r="44" spans="2:6" s="9" customFormat="1" x14ac:dyDescent="0.25">
      <c r="B44" s="78">
        <v>-46</v>
      </c>
      <c r="C44" s="79">
        <f t="shared" si="6"/>
        <v>30.306475304353054</v>
      </c>
      <c r="D44" s="80" t="s">
        <v>77</v>
      </c>
      <c r="E44" s="60"/>
      <c r="F44" s="63"/>
    </row>
    <row r="45" spans="2:6" s="9" customFormat="1" x14ac:dyDescent="0.25">
      <c r="B45" s="78">
        <v>-45</v>
      </c>
      <c r="C45" s="79">
        <f t="shared" si="6"/>
        <v>32.108592105073456</v>
      </c>
      <c r="D45" s="80" t="s">
        <v>78</v>
      </c>
      <c r="E45" s="60"/>
      <c r="F45" s="63"/>
    </row>
    <row r="46" spans="2:6" s="9" customFormat="1" x14ac:dyDescent="0.25">
      <c r="B46" s="78">
        <v>-44</v>
      </c>
      <c r="C46" s="79">
        <f t="shared" si="6"/>
        <v>34.017868347161567</v>
      </c>
      <c r="D46" s="80" t="s">
        <v>79</v>
      </c>
      <c r="E46" s="60"/>
      <c r="F46" s="63"/>
    </row>
    <row r="47" spans="2:6" s="9" customFormat="1" x14ac:dyDescent="0.25">
      <c r="B47" s="78">
        <v>-43</v>
      </c>
      <c r="C47" s="79">
        <f t="shared" si="6"/>
        <v>36.040676062590904</v>
      </c>
      <c r="D47" s="80" t="s">
        <v>80</v>
      </c>
      <c r="E47" s="60"/>
      <c r="F47" s="63"/>
    </row>
    <row r="48" spans="2:6" s="9" customFormat="1" x14ac:dyDescent="0.25">
      <c r="B48" s="78">
        <v>-42</v>
      </c>
      <c r="C48" s="79">
        <f t="shared" si="6"/>
        <v>38.183766184073548</v>
      </c>
      <c r="D48" s="80" t="s">
        <v>81</v>
      </c>
      <c r="E48" s="60"/>
      <c r="F48" s="63"/>
    </row>
    <row r="49" spans="2:6" s="9" customFormat="1" x14ac:dyDescent="0.25">
      <c r="B49" s="78">
        <v>-41</v>
      </c>
      <c r="C49" s="79">
        <f t="shared" si="6"/>
        <v>40.454291075670383</v>
      </c>
      <c r="D49" s="80" t="s">
        <v>82</v>
      </c>
      <c r="E49" s="60"/>
      <c r="F49" s="63"/>
    </row>
    <row r="50" spans="2:6" s="9" customFormat="1" x14ac:dyDescent="0.25">
      <c r="B50" s="78">
        <v>-40</v>
      </c>
      <c r="C50" s="79">
        <f t="shared" si="6"/>
        <v>42.859828403141371</v>
      </c>
      <c r="D50" s="80" t="s">
        <v>83</v>
      </c>
      <c r="E50" s="60"/>
      <c r="F50" s="63"/>
    </row>
    <row r="51" spans="2:6" s="9" customFormat="1" x14ac:dyDescent="0.25">
      <c r="B51" s="78">
        <v>-39</v>
      </c>
      <c r="C51" s="79">
        <f t="shared" si="6"/>
        <v>45.408406423700562</v>
      </c>
      <c r="D51" s="80" t="s">
        <v>84</v>
      </c>
      <c r="E51" s="60"/>
      <c r="F51" s="63"/>
    </row>
    <row r="52" spans="2:6" s="9" customFormat="1" x14ac:dyDescent="0.25">
      <c r="B52" s="78">
        <v>-38</v>
      </c>
      <c r="C52" s="79">
        <f t="shared" si="6"/>
        <v>48.108530779578302</v>
      </c>
      <c r="D52" s="80" t="s">
        <v>85</v>
      </c>
      <c r="E52" s="60"/>
      <c r="F52" s="63"/>
    </row>
    <row r="53" spans="2:6" s="9" customFormat="1" x14ac:dyDescent="0.25">
      <c r="B53" s="78">
        <v>-37</v>
      </c>
      <c r="C53" s="79">
        <f t="shared" si="6"/>
        <v>50.969212884811441</v>
      </c>
      <c r="D53" s="80" t="s">
        <v>74</v>
      </c>
      <c r="E53" s="60"/>
      <c r="F53" s="63"/>
    </row>
    <row r="54" spans="2:6" s="9" customFormat="1" x14ac:dyDescent="0.25">
      <c r="B54" s="78">
        <v>-36</v>
      </c>
      <c r="C54" s="79">
        <f t="shared" si="6"/>
        <v>53.999999999999979</v>
      </c>
      <c r="D54" s="80" t="s">
        <v>86</v>
      </c>
      <c r="E54" s="60"/>
      <c r="F54" s="63"/>
    </row>
    <row r="55" spans="2:6" s="9" customFormat="1" x14ac:dyDescent="0.25">
      <c r="B55" s="78">
        <v>-35</v>
      </c>
      <c r="C55" s="79">
        <f t="shared" si="6"/>
        <v>57.211007095401911</v>
      </c>
      <c r="D55" s="80" t="s">
        <v>87</v>
      </c>
      <c r="E55" s="60"/>
      <c r="F55" s="63"/>
    </row>
    <row r="56" spans="2:6" s="9" customFormat="1" x14ac:dyDescent="0.25">
      <c r="B56" s="78">
        <v>-34</v>
      </c>
      <c r="C56" s="79">
        <f t="shared" si="6"/>
        <v>60.612950608706122</v>
      </c>
      <c r="D56" s="80" t="s">
        <v>88</v>
      </c>
      <c r="E56" s="60"/>
      <c r="F56" s="63"/>
    </row>
    <row r="57" spans="2:6" s="9" customFormat="1" x14ac:dyDescent="0.25">
      <c r="B57" s="78">
        <v>-33</v>
      </c>
      <c r="C57" s="79">
        <f t="shared" si="6"/>
        <v>64.217184210146911</v>
      </c>
      <c r="D57" s="80" t="s">
        <v>89</v>
      </c>
      <c r="E57" s="60"/>
      <c r="F57" s="63"/>
    </row>
    <row r="58" spans="2:6" s="9" customFormat="1" x14ac:dyDescent="0.25">
      <c r="B58" s="78">
        <v>-32</v>
      </c>
      <c r="C58" s="79">
        <f t="shared" si="6"/>
        <v>68.035736694323134</v>
      </c>
      <c r="D58" s="80" t="s">
        <v>90</v>
      </c>
      <c r="E58" s="60"/>
      <c r="F58" s="63"/>
    </row>
    <row r="59" spans="2:6" s="9" customFormat="1" x14ac:dyDescent="0.25">
      <c r="B59" s="78">
        <v>-31</v>
      </c>
      <c r="C59" s="79">
        <f t="shared" si="6"/>
        <v>72.081352125181837</v>
      </c>
      <c r="D59" s="80" t="s">
        <v>91</v>
      </c>
      <c r="E59" s="60"/>
      <c r="F59" s="63"/>
    </row>
    <row r="60" spans="2:6" s="9" customFormat="1" x14ac:dyDescent="0.25">
      <c r="B60" s="78">
        <v>-30</v>
      </c>
      <c r="C60" s="79">
        <f t="shared" si="6"/>
        <v>76.367532368147096</v>
      </c>
      <c r="D60" s="80" t="s">
        <v>92</v>
      </c>
      <c r="E60" s="60"/>
      <c r="F60" s="63"/>
    </row>
    <row r="61" spans="2:6" s="9" customFormat="1" x14ac:dyDescent="0.25">
      <c r="B61" s="78">
        <v>-29</v>
      </c>
      <c r="C61" s="79">
        <f t="shared" si="6"/>
        <v>80.908582151340795</v>
      </c>
      <c r="D61" s="80" t="s">
        <v>93</v>
      </c>
      <c r="E61" s="60"/>
      <c r="F61" s="63"/>
    </row>
    <row r="62" spans="2:6" s="9" customFormat="1" x14ac:dyDescent="0.25">
      <c r="B62" s="78">
        <v>-28</v>
      </c>
      <c r="C62" s="79">
        <f t="shared" si="6"/>
        <v>85.719656806282757</v>
      </c>
      <c r="D62" s="80" t="s">
        <v>94</v>
      </c>
      <c r="E62" s="60"/>
      <c r="F62" s="63"/>
    </row>
    <row r="63" spans="2:6" s="9" customFormat="1" x14ac:dyDescent="0.25">
      <c r="B63" s="78">
        <v>-27</v>
      </c>
      <c r="C63" s="79">
        <f t="shared" si="6"/>
        <v>90.816812847401124</v>
      </c>
      <c r="D63" s="80" t="s">
        <v>95</v>
      </c>
      <c r="E63" s="60"/>
      <c r="F63" s="63"/>
    </row>
    <row r="64" spans="2:6" s="9" customFormat="1" x14ac:dyDescent="0.25">
      <c r="B64" s="78">
        <v>-26</v>
      </c>
      <c r="C64" s="79">
        <f t="shared" si="6"/>
        <v>96.217061559156619</v>
      </c>
      <c r="D64" s="80" t="s">
        <v>96</v>
      </c>
      <c r="E64" s="60"/>
      <c r="F64" s="63"/>
    </row>
    <row r="65" spans="2:8" s="9" customFormat="1" x14ac:dyDescent="0.25">
      <c r="B65" s="78">
        <v>-25</v>
      </c>
      <c r="C65" s="79">
        <f t="shared" si="6"/>
        <v>101.93842576962288</v>
      </c>
      <c r="D65" s="80" t="s">
        <v>97</v>
      </c>
      <c r="E65" s="60"/>
      <c r="F65" s="63"/>
    </row>
    <row r="66" spans="2:8" s="9" customFormat="1" x14ac:dyDescent="0.25">
      <c r="B66" s="78">
        <v>-24</v>
      </c>
      <c r="C66" s="79">
        <f t="shared" si="6"/>
        <v>107.99999999999997</v>
      </c>
      <c r="D66" s="78" t="s">
        <v>86</v>
      </c>
      <c r="E66" s="60"/>
      <c r="F66" s="63"/>
    </row>
    <row r="67" spans="2:8" s="9" customFormat="1" x14ac:dyDescent="0.25">
      <c r="B67" s="78">
        <v>-23</v>
      </c>
      <c r="C67" s="79">
        <f t="shared" si="6"/>
        <v>114.42201419080385</v>
      </c>
      <c r="D67" s="78" t="s">
        <v>87</v>
      </c>
      <c r="E67" s="60"/>
      <c r="F67" s="63"/>
    </row>
    <row r="68" spans="2:8" s="9" customFormat="1" x14ac:dyDescent="0.25">
      <c r="B68" s="78">
        <v>-22</v>
      </c>
      <c r="C68" s="79">
        <f t="shared" si="6"/>
        <v>121.22590121741226</v>
      </c>
      <c r="D68" s="78" t="s">
        <v>88</v>
      </c>
      <c r="E68" s="60"/>
      <c r="F68" s="63"/>
    </row>
    <row r="69" spans="2:8" s="9" customFormat="1" x14ac:dyDescent="0.25">
      <c r="B69" s="78">
        <v>-21</v>
      </c>
      <c r="C69" s="79">
        <f t="shared" si="6"/>
        <v>128.43436842029385</v>
      </c>
      <c r="D69" s="78" t="s">
        <v>98</v>
      </c>
      <c r="E69" s="60"/>
      <c r="F69" s="63"/>
    </row>
    <row r="70" spans="2:8" s="9" customFormat="1" x14ac:dyDescent="0.25">
      <c r="B70" s="78">
        <v>-20</v>
      </c>
      <c r="C70" s="79">
        <f t="shared" si="6"/>
        <v>136.07147338864627</v>
      </c>
      <c r="D70" s="80" t="s">
        <v>99</v>
      </c>
      <c r="E70" s="60"/>
      <c r="F70" s="63"/>
    </row>
    <row r="71" spans="2:8" s="9" customFormat="1" x14ac:dyDescent="0.25">
      <c r="B71" s="78">
        <v>-19</v>
      </c>
      <c r="C71" s="79">
        <f t="shared" si="6"/>
        <v>144.16270425036367</v>
      </c>
      <c r="D71" s="80" t="s">
        <v>100</v>
      </c>
      <c r="E71" s="60"/>
      <c r="F71" s="63"/>
    </row>
    <row r="72" spans="2:8" s="9" customFormat="1" x14ac:dyDescent="0.25">
      <c r="B72" s="78">
        <v>-18</v>
      </c>
      <c r="C72" s="79">
        <f t="shared" si="6"/>
        <v>152.73506473629422</v>
      </c>
      <c r="D72" s="80" t="s">
        <v>101</v>
      </c>
      <c r="E72" s="60"/>
      <c r="F72" s="63"/>
    </row>
    <row r="73" spans="2:8" s="9" customFormat="1" x14ac:dyDescent="0.25">
      <c r="B73" s="78">
        <v>-17</v>
      </c>
      <c r="C73" s="79">
        <f t="shared" si="6"/>
        <v>161.81716430268159</v>
      </c>
      <c r="D73" s="80" t="s">
        <v>102</v>
      </c>
      <c r="E73" s="60"/>
      <c r="F73" s="63"/>
    </row>
    <row r="74" spans="2:8" s="9" customFormat="1" x14ac:dyDescent="0.25">
      <c r="B74" s="78">
        <v>-16</v>
      </c>
      <c r="C74" s="79">
        <f t="shared" si="6"/>
        <v>171.43931361256551</v>
      </c>
      <c r="D74" s="80" t="s">
        <v>103</v>
      </c>
      <c r="E74" s="60"/>
      <c r="F74" s="63"/>
    </row>
    <row r="75" spans="2:8" s="9" customFormat="1" x14ac:dyDescent="0.25">
      <c r="B75" s="78">
        <v>-15</v>
      </c>
      <c r="C75" s="79">
        <f t="shared" si="6"/>
        <v>181.6336256948023</v>
      </c>
      <c r="D75" s="80" t="s">
        <v>104</v>
      </c>
      <c r="E75" s="60"/>
      <c r="F75" s="63"/>
    </row>
    <row r="76" spans="2:8" s="9" customFormat="1" x14ac:dyDescent="0.25">
      <c r="B76" s="78">
        <v>-14</v>
      </c>
      <c r="C76" s="79">
        <f t="shared" si="6"/>
        <v>192.43412311831324</v>
      </c>
      <c r="D76" s="80" t="s">
        <v>105</v>
      </c>
      <c r="E76" s="60"/>
      <c r="F76" s="63"/>
    </row>
    <row r="77" spans="2:8" s="9" customFormat="1" x14ac:dyDescent="0.25">
      <c r="B77" s="78">
        <v>-13</v>
      </c>
      <c r="C77" s="79">
        <f t="shared" si="6"/>
        <v>203.87685153924579</v>
      </c>
      <c r="D77" s="80" t="s">
        <v>106</v>
      </c>
      <c r="E77" s="60"/>
      <c r="F77" s="1"/>
      <c r="G77"/>
      <c r="H77"/>
    </row>
    <row r="78" spans="2:8" s="9" customFormat="1" x14ac:dyDescent="0.25">
      <c r="B78" s="78">
        <v>-12</v>
      </c>
      <c r="C78" s="79">
        <f t="shared" si="6"/>
        <v>216</v>
      </c>
      <c r="D78" s="80" t="s">
        <v>107</v>
      </c>
      <c r="E78" s="60"/>
      <c r="F78" s="1"/>
      <c r="G78"/>
      <c r="H78"/>
    </row>
    <row r="79" spans="2:8" x14ac:dyDescent="0.25">
      <c r="B79" s="78">
        <v>-11</v>
      </c>
      <c r="C79" s="79">
        <f t="shared" si="6"/>
        <v>228.84402838160773</v>
      </c>
      <c r="D79" s="80" t="s">
        <v>108</v>
      </c>
    </row>
    <row r="80" spans="2:8" x14ac:dyDescent="0.25">
      <c r="B80" s="78">
        <v>-10</v>
      </c>
      <c r="C80" s="79">
        <f t="shared" si="6"/>
        <v>242.45180243482451</v>
      </c>
      <c r="D80" s="80" t="s">
        <v>109</v>
      </c>
    </row>
    <row r="81" spans="2:6" x14ac:dyDescent="0.25">
      <c r="B81" s="78">
        <v>-9</v>
      </c>
      <c r="C81" s="79">
        <f t="shared" si="6"/>
        <v>256.86873684058776</v>
      </c>
      <c r="D81" s="80" t="s">
        <v>110</v>
      </c>
      <c r="E81"/>
      <c r="F81"/>
    </row>
    <row r="82" spans="2:6" x14ac:dyDescent="0.25">
      <c r="B82" s="78">
        <v>-8</v>
      </c>
      <c r="C82" s="79">
        <f t="shared" si="6"/>
        <v>272.14294677729254</v>
      </c>
      <c r="D82" s="80" t="s">
        <v>111</v>
      </c>
      <c r="E82"/>
      <c r="F82"/>
    </row>
    <row r="83" spans="2:6" x14ac:dyDescent="0.25">
      <c r="B83" s="78">
        <v>-7</v>
      </c>
      <c r="C83" s="79">
        <f t="shared" si="6"/>
        <v>288.32540850072735</v>
      </c>
      <c r="D83" s="80" t="s">
        <v>112</v>
      </c>
      <c r="E83"/>
      <c r="F83"/>
    </row>
    <row r="84" spans="2:6" x14ac:dyDescent="0.25">
      <c r="B84" s="78">
        <v>-6</v>
      </c>
      <c r="C84" s="79">
        <f t="shared" si="6"/>
        <v>305.4701294725885</v>
      </c>
      <c r="D84" s="80" t="s">
        <v>113</v>
      </c>
      <c r="E84"/>
      <c r="F84"/>
    </row>
    <row r="85" spans="2:6" x14ac:dyDescent="0.25">
      <c r="B85" s="78">
        <v>-5</v>
      </c>
      <c r="C85" s="79">
        <f t="shared" si="6"/>
        <v>323.63432860536318</v>
      </c>
      <c r="D85" s="80" t="s">
        <v>114</v>
      </c>
      <c r="E85"/>
      <c r="F85"/>
    </row>
    <row r="86" spans="2:6" x14ac:dyDescent="0.25">
      <c r="B86" s="78">
        <v>-4</v>
      </c>
      <c r="C86" s="79">
        <f t="shared" si="6"/>
        <v>342.87862722513108</v>
      </c>
      <c r="D86" s="80" t="s">
        <v>115</v>
      </c>
      <c r="E86"/>
      <c r="F86"/>
    </row>
    <row r="87" spans="2:6" x14ac:dyDescent="0.25">
      <c r="B87" s="78">
        <v>-3</v>
      </c>
      <c r="C87" s="79">
        <f t="shared" si="6"/>
        <v>363.26725138960461</v>
      </c>
      <c r="D87" s="80" t="s">
        <v>116</v>
      </c>
      <c r="E87"/>
      <c r="F87"/>
    </row>
    <row r="88" spans="2:6" x14ac:dyDescent="0.25">
      <c r="B88" s="78">
        <v>-2</v>
      </c>
      <c r="C88" s="79">
        <f t="shared" si="6"/>
        <v>384.86824623662659</v>
      </c>
      <c r="D88" s="80" t="s">
        <v>117</v>
      </c>
      <c r="E88"/>
      <c r="F88"/>
    </row>
    <row r="89" spans="2:6" ht="15.75" thickBot="1" x14ac:dyDescent="0.3">
      <c r="B89" s="81">
        <v>-1</v>
      </c>
      <c r="C89" s="82">
        <f t="shared" si="6"/>
        <v>407.75370307849158</v>
      </c>
      <c r="D89" s="83" t="s">
        <v>118</v>
      </c>
      <c r="E89"/>
      <c r="F89"/>
    </row>
    <row r="90" spans="2:6" ht="15.75" thickBot="1" x14ac:dyDescent="0.3">
      <c r="B90" s="84">
        <v>0</v>
      </c>
      <c r="C90" s="85">
        <f t="shared" si="6"/>
        <v>432</v>
      </c>
      <c r="D90" s="86" t="s">
        <v>119</v>
      </c>
      <c r="E90"/>
      <c r="F90"/>
    </row>
    <row r="91" spans="2:6" x14ac:dyDescent="0.25">
      <c r="B91" s="87">
        <v>1</v>
      </c>
      <c r="C91" s="88">
        <f t="shared" si="6"/>
        <v>457.68805676321557</v>
      </c>
      <c r="D91" s="87" t="s">
        <v>120</v>
      </c>
      <c r="E91"/>
      <c r="F91"/>
    </row>
    <row r="92" spans="2:6" x14ac:dyDescent="0.25">
      <c r="B92" s="78">
        <v>2</v>
      </c>
      <c r="C92" s="79">
        <f t="shared" si="6"/>
        <v>484.90360486964914</v>
      </c>
      <c r="D92" s="78" t="s">
        <v>121</v>
      </c>
      <c r="E92"/>
      <c r="F92"/>
    </row>
    <row r="93" spans="2:6" x14ac:dyDescent="0.25">
      <c r="B93" s="78">
        <v>3</v>
      </c>
      <c r="C93" s="79">
        <f t="shared" si="6"/>
        <v>513.73747368117563</v>
      </c>
      <c r="D93" s="78" t="s">
        <v>122</v>
      </c>
      <c r="E93"/>
      <c r="F93"/>
    </row>
    <row r="94" spans="2:6" x14ac:dyDescent="0.25">
      <c r="B94" s="78">
        <v>4</v>
      </c>
      <c r="C94" s="79">
        <f t="shared" si="6"/>
        <v>544.28589355458519</v>
      </c>
      <c r="D94" s="78" t="s">
        <v>123</v>
      </c>
      <c r="E94"/>
      <c r="F94"/>
    </row>
    <row r="95" spans="2:6" x14ac:dyDescent="0.25">
      <c r="B95" s="78">
        <v>5</v>
      </c>
      <c r="C95" s="79">
        <f t="shared" si="6"/>
        <v>576.65081700145481</v>
      </c>
      <c r="D95" s="78" t="s">
        <v>124</v>
      </c>
      <c r="E95"/>
      <c r="F95"/>
    </row>
    <row r="96" spans="2:6" x14ac:dyDescent="0.25">
      <c r="B96" s="78">
        <v>6</v>
      </c>
      <c r="C96" s="79">
        <f t="shared" si="6"/>
        <v>610.94025894517711</v>
      </c>
      <c r="D96" s="78" t="s">
        <v>125</v>
      </c>
      <c r="E96"/>
      <c r="F96"/>
    </row>
    <row r="97" spans="2:6" x14ac:dyDescent="0.25">
      <c r="B97" s="78">
        <v>7</v>
      </c>
      <c r="C97" s="79">
        <f t="shared" ref="C97:C156" si="7">$G$31*$G$32^B97</f>
        <v>647.26865721072647</v>
      </c>
      <c r="D97" s="78" t="s">
        <v>126</v>
      </c>
      <c r="E97"/>
      <c r="F97"/>
    </row>
    <row r="98" spans="2:6" x14ac:dyDescent="0.25">
      <c r="B98" s="78">
        <v>8</v>
      </c>
      <c r="C98" s="79">
        <f t="shared" si="7"/>
        <v>685.75725445026217</v>
      </c>
      <c r="D98" s="78" t="s">
        <v>127</v>
      </c>
      <c r="E98"/>
      <c r="F98"/>
    </row>
    <row r="99" spans="2:6" x14ac:dyDescent="0.25">
      <c r="B99" s="78">
        <v>9</v>
      </c>
      <c r="C99" s="79">
        <f t="shared" si="7"/>
        <v>726.53450277920945</v>
      </c>
      <c r="D99" s="78" t="s">
        <v>128</v>
      </c>
      <c r="E99"/>
      <c r="F99"/>
    </row>
    <row r="100" spans="2:6" x14ac:dyDescent="0.25">
      <c r="B100" s="78">
        <v>10</v>
      </c>
      <c r="C100" s="79">
        <f t="shared" si="7"/>
        <v>769.73649247325318</v>
      </c>
      <c r="D100" s="78" t="s">
        <v>129</v>
      </c>
      <c r="E100"/>
      <c r="F100"/>
    </row>
    <row r="101" spans="2:6" x14ac:dyDescent="0.25">
      <c r="B101" s="78">
        <v>11</v>
      </c>
      <c r="C101" s="79">
        <f t="shared" si="7"/>
        <v>815.50740615698339</v>
      </c>
      <c r="D101" s="78" t="s">
        <v>130</v>
      </c>
      <c r="E101"/>
      <c r="F101"/>
    </row>
    <row r="102" spans="2:6" x14ac:dyDescent="0.25">
      <c r="B102" s="78">
        <v>12</v>
      </c>
      <c r="C102" s="79">
        <f t="shared" si="7"/>
        <v>864</v>
      </c>
      <c r="D102" s="78" t="s">
        <v>131</v>
      </c>
      <c r="E102"/>
      <c r="F102"/>
    </row>
    <row r="103" spans="2:6" x14ac:dyDescent="0.25">
      <c r="B103" s="78">
        <v>13</v>
      </c>
      <c r="C103" s="79">
        <f t="shared" si="7"/>
        <v>915.37611352643114</v>
      </c>
      <c r="D103" s="78" t="s">
        <v>132</v>
      </c>
      <c r="E103"/>
      <c r="F103"/>
    </row>
    <row r="104" spans="2:6" x14ac:dyDescent="0.25">
      <c r="B104" s="78">
        <v>14</v>
      </c>
      <c r="C104" s="79">
        <f t="shared" si="7"/>
        <v>969.80720973929851</v>
      </c>
      <c r="D104" s="78" t="s">
        <v>133</v>
      </c>
      <c r="E104"/>
      <c r="F104"/>
    </row>
    <row r="105" spans="2:6" x14ac:dyDescent="0.25">
      <c r="B105" s="78">
        <v>15</v>
      </c>
      <c r="C105" s="79">
        <f t="shared" si="7"/>
        <v>1027.4749473623513</v>
      </c>
      <c r="D105" s="78" t="s">
        <v>134</v>
      </c>
      <c r="E105"/>
      <c r="F105"/>
    </row>
    <row r="106" spans="2:6" x14ac:dyDescent="0.25">
      <c r="B106" s="78">
        <v>16</v>
      </c>
      <c r="C106" s="79">
        <f t="shared" si="7"/>
        <v>1088.5717871091706</v>
      </c>
      <c r="D106" s="78" t="s">
        <v>135</v>
      </c>
      <c r="E106"/>
      <c r="F106"/>
    </row>
    <row r="107" spans="2:6" x14ac:dyDescent="0.25">
      <c r="B107" s="78">
        <v>17</v>
      </c>
      <c r="C107" s="79">
        <f t="shared" si="7"/>
        <v>1153.3016340029099</v>
      </c>
      <c r="D107" s="78" t="s">
        <v>136</v>
      </c>
      <c r="E107"/>
      <c r="F107"/>
    </row>
    <row r="108" spans="2:6" x14ac:dyDescent="0.25">
      <c r="B108" s="78">
        <v>18</v>
      </c>
      <c r="C108" s="79">
        <f t="shared" si="7"/>
        <v>1221.8805178903544</v>
      </c>
      <c r="D108" s="78" t="s">
        <v>137</v>
      </c>
      <c r="E108"/>
      <c r="F108"/>
    </row>
    <row r="109" spans="2:6" x14ac:dyDescent="0.25">
      <c r="B109" s="78">
        <v>19</v>
      </c>
      <c r="C109" s="79">
        <f t="shared" si="7"/>
        <v>1294.5373144214532</v>
      </c>
      <c r="D109" s="78" t="s">
        <v>138</v>
      </c>
      <c r="E109"/>
      <c r="F109"/>
    </row>
    <row r="110" spans="2:6" x14ac:dyDescent="0.25">
      <c r="B110" s="78">
        <v>20</v>
      </c>
      <c r="C110" s="79">
        <f t="shared" si="7"/>
        <v>1371.5145089005246</v>
      </c>
      <c r="D110" s="78" t="s">
        <v>139</v>
      </c>
      <c r="E110"/>
      <c r="F110"/>
    </row>
    <row r="111" spans="2:6" x14ac:dyDescent="0.25">
      <c r="B111" s="78">
        <v>21</v>
      </c>
      <c r="C111" s="79">
        <f t="shared" si="7"/>
        <v>1453.0690055584191</v>
      </c>
      <c r="D111" s="78" t="s">
        <v>140</v>
      </c>
      <c r="E111"/>
      <c r="F111"/>
    </row>
    <row r="112" spans="2:6" x14ac:dyDescent="0.25">
      <c r="B112" s="78">
        <v>22</v>
      </c>
      <c r="C112" s="79">
        <f t="shared" si="7"/>
        <v>1539.4729849465066</v>
      </c>
      <c r="D112" s="78" t="s">
        <v>141</v>
      </c>
      <c r="E112"/>
      <c r="F112"/>
    </row>
    <row r="113" spans="2:6" x14ac:dyDescent="0.25">
      <c r="B113" s="78">
        <v>23</v>
      </c>
      <c r="C113" s="79">
        <f t="shared" si="7"/>
        <v>1631.014812313967</v>
      </c>
      <c r="D113" s="78" t="s">
        <v>142</v>
      </c>
      <c r="E113"/>
      <c r="F113"/>
    </row>
    <row r="114" spans="2:6" x14ac:dyDescent="0.25">
      <c r="B114" s="78">
        <v>24</v>
      </c>
      <c r="C114" s="79">
        <f t="shared" si="7"/>
        <v>1728.0000000000005</v>
      </c>
      <c r="D114" s="78" t="s">
        <v>143</v>
      </c>
      <c r="E114"/>
      <c r="F114"/>
    </row>
    <row r="115" spans="2:6" x14ac:dyDescent="0.25">
      <c r="B115" s="78">
        <v>25</v>
      </c>
      <c r="C115" s="79">
        <f t="shared" si="7"/>
        <v>1830.7522270528627</v>
      </c>
      <c r="D115" s="78" t="s">
        <v>144</v>
      </c>
      <c r="E115"/>
      <c r="F115"/>
    </row>
    <row r="116" spans="2:6" x14ac:dyDescent="0.25">
      <c r="B116" s="78">
        <v>26</v>
      </c>
      <c r="C116" s="79">
        <f t="shared" si="7"/>
        <v>1939.614419478597</v>
      </c>
      <c r="D116" s="78" t="s">
        <v>145</v>
      </c>
      <c r="E116"/>
      <c r="F116"/>
    </row>
    <row r="117" spans="2:6" x14ac:dyDescent="0.25">
      <c r="B117" s="78">
        <v>27</v>
      </c>
      <c r="C117" s="79">
        <f t="shared" si="7"/>
        <v>2054.949894724703</v>
      </c>
      <c r="D117" s="78" t="s">
        <v>146</v>
      </c>
      <c r="E117"/>
      <c r="F117"/>
    </row>
    <row r="118" spans="2:6" x14ac:dyDescent="0.25">
      <c r="B118" s="78">
        <v>28</v>
      </c>
      <c r="C118" s="79">
        <f t="shared" si="7"/>
        <v>2177.1435742183412</v>
      </c>
      <c r="D118" s="78" t="s">
        <v>147</v>
      </c>
      <c r="E118"/>
      <c r="F118"/>
    </row>
    <row r="119" spans="2:6" x14ac:dyDescent="0.25">
      <c r="B119" s="78">
        <v>29</v>
      </c>
      <c r="C119" s="79">
        <f t="shared" si="7"/>
        <v>2306.6032680058197</v>
      </c>
      <c r="D119" s="78" t="s">
        <v>148</v>
      </c>
      <c r="E119"/>
      <c r="F119"/>
    </row>
    <row r="120" spans="2:6" x14ac:dyDescent="0.25">
      <c r="B120" s="78">
        <v>30</v>
      </c>
      <c r="C120" s="79">
        <f t="shared" si="7"/>
        <v>2443.7610357807093</v>
      </c>
      <c r="D120" s="78" t="s">
        <v>149</v>
      </c>
      <c r="E120"/>
      <c r="F120"/>
    </row>
    <row r="121" spans="2:6" x14ac:dyDescent="0.25">
      <c r="B121" s="78">
        <v>31</v>
      </c>
      <c r="C121" s="79">
        <f t="shared" si="7"/>
        <v>2589.0746288429063</v>
      </c>
      <c r="D121" s="78" t="s">
        <v>150</v>
      </c>
      <c r="E121"/>
      <c r="F121"/>
    </row>
    <row r="122" spans="2:6" x14ac:dyDescent="0.25">
      <c r="B122" s="78">
        <v>32</v>
      </c>
      <c r="C122" s="79">
        <f t="shared" si="7"/>
        <v>2743.0290178010496</v>
      </c>
      <c r="D122" s="78" t="s">
        <v>151</v>
      </c>
      <c r="E122"/>
      <c r="F122"/>
    </row>
    <row r="123" spans="2:6" x14ac:dyDescent="0.25">
      <c r="B123" s="78">
        <v>33</v>
      </c>
      <c r="C123" s="79">
        <f t="shared" si="7"/>
        <v>2906.1380111168382</v>
      </c>
      <c r="D123" s="78" t="s">
        <v>152</v>
      </c>
      <c r="E123"/>
      <c r="F123"/>
    </row>
    <row r="124" spans="2:6" x14ac:dyDescent="0.25">
      <c r="B124" s="78">
        <v>34</v>
      </c>
      <c r="C124" s="79">
        <f t="shared" si="7"/>
        <v>3078.9459698930136</v>
      </c>
      <c r="D124" s="78" t="s">
        <v>153</v>
      </c>
      <c r="E124"/>
      <c r="F124"/>
    </row>
    <row r="125" spans="2:6" x14ac:dyDescent="0.25">
      <c r="B125" s="78">
        <v>35</v>
      </c>
      <c r="C125" s="79">
        <f t="shared" si="7"/>
        <v>3262.0296246279345</v>
      </c>
      <c r="D125" s="78" t="s">
        <v>154</v>
      </c>
      <c r="E125"/>
      <c r="F125"/>
    </row>
    <row r="126" spans="2:6" x14ac:dyDescent="0.25">
      <c r="B126" s="78">
        <v>36</v>
      </c>
      <c r="C126" s="79">
        <f t="shared" si="7"/>
        <v>3456.0000000000014</v>
      </c>
      <c r="D126" s="78" t="s">
        <v>155</v>
      </c>
      <c r="E126"/>
      <c r="F126"/>
    </row>
    <row r="127" spans="2:6" x14ac:dyDescent="0.25">
      <c r="B127" s="78">
        <v>37</v>
      </c>
      <c r="C127" s="79">
        <f t="shared" si="7"/>
        <v>3661.5044541057255</v>
      </c>
      <c r="D127" s="78" t="s">
        <v>156</v>
      </c>
      <c r="E127"/>
      <c r="F127"/>
    </row>
    <row r="128" spans="2:6" x14ac:dyDescent="0.25">
      <c r="B128" s="78">
        <v>38</v>
      </c>
      <c r="C128" s="79">
        <f t="shared" si="7"/>
        <v>3879.2288389571945</v>
      </c>
      <c r="D128" s="78" t="s">
        <v>157</v>
      </c>
      <c r="E128"/>
      <c r="F128"/>
    </row>
    <row r="129" spans="2:6" x14ac:dyDescent="0.25">
      <c r="B129" s="78">
        <v>39</v>
      </c>
      <c r="C129" s="79">
        <f t="shared" si="7"/>
        <v>4109.8997894494059</v>
      </c>
      <c r="D129" s="78" t="s">
        <v>158</v>
      </c>
      <c r="E129"/>
      <c r="F129"/>
    </row>
    <row r="130" spans="2:6" x14ac:dyDescent="0.25">
      <c r="B130" s="78">
        <v>40</v>
      </c>
      <c r="C130" s="79">
        <f t="shared" si="7"/>
        <v>4354.2871484366833</v>
      </c>
      <c r="D130" s="78" t="s">
        <v>159</v>
      </c>
      <c r="E130"/>
      <c r="F130"/>
    </row>
    <row r="131" spans="2:6" x14ac:dyDescent="0.25">
      <c r="B131" s="78">
        <v>41</v>
      </c>
      <c r="C131" s="79">
        <f t="shared" si="7"/>
        <v>4613.2065360116412</v>
      </c>
      <c r="D131" s="78" t="s">
        <v>160</v>
      </c>
      <c r="E131"/>
      <c r="F131"/>
    </row>
    <row r="132" spans="2:6" x14ac:dyDescent="0.25">
      <c r="B132" s="78">
        <v>42</v>
      </c>
      <c r="C132" s="79">
        <f t="shared" si="7"/>
        <v>4887.5220715614187</v>
      </c>
      <c r="D132" s="78" t="s">
        <v>161</v>
      </c>
      <c r="E132"/>
      <c r="F132"/>
    </row>
    <row r="133" spans="2:6" x14ac:dyDescent="0.25">
      <c r="B133" s="78">
        <v>43</v>
      </c>
      <c r="C133" s="79">
        <f t="shared" si="7"/>
        <v>5178.1492576858145</v>
      </c>
      <c r="D133" s="78" t="s">
        <v>162</v>
      </c>
      <c r="E133"/>
      <c r="F133"/>
    </row>
    <row r="134" spans="2:6" x14ac:dyDescent="0.25">
      <c r="B134" s="78">
        <v>44</v>
      </c>
      <c r="C134" s="79">
        <f t="shared" si="7"/>
        <v>5486.0580356020992</v>
      </c>
      <c r="D134" s="78" t="s">
        <v>163</v>
      </c>
      <c r="E134"/>
      <c r="F134"/>
    </row>
    <row r="135" spans="2:6" x14ac:dyDescent="0.25">
      <c r="B135" s="78">
        <v>45</v>
      </c>
      <c r="C135" s="79">
        <f t="shared" si="7"/>
        <v>5812.2760222336765</v>
      </c>
      <c r="D135" s="78" t="s">
        <v>164</v>
      </c>
      <c r="E135"/>
      <c r="F135"/>
    </row>
    <row r="136" spans="2:6" x14ac:dyDescent="0.25">
      <c r="B136" s="78">
        <v>46</v>
      </c>
      <c r="C136" s="79">
        <f t="shared" si="7"/>
        <v>6157.8919397860291</v>
      </c>
      <c r="D136" s="78" t="s">
        <v>165</v>
      </c>
      <c r="E136"/>
      <c r="F136"/>
    </row>
    <row r="137" spans="2:6" x14ac:dyDescent="0.25">
      <c r="B137" s="78">
        <v>47</v>
      </c>
      <c r="C137" s="79">
        <f t="shared" si="7"/>
        <v>6524.059249255869</v>
      </c>
      <c r="D137" s="78" t="s">
        <v>166</v>
      </c>
      <c r="E137"/>
      <c r="F137"/>
    </row>
    <row r="138" spans="2:6" x14ac:dyDescent="0.25">
      <c r="B138" s="78">
        <v>48</v>
      </c>
      <c r="C138" s="79">
        <f t="shared" si="7"/>
        <v>6912.0000000000027</v>
      </c>
      <c r="D138" s="78" t="s">
        <v>167</v>
      </c>
      <c r="E138"/>
      <c r="F138"/>
    </row>
    <row r="139" spans="2:6" x14ac:dyDescent="0.25">
      <c r="B139" s="78">
        <v>49</v>
      </c>
      <c r="C139" s="79">
        <f t="shared" si="7"/>
        <v>7323.0089082114519</v>
      </c>
      <c r="D139" s="78" t="s">
        <v>168</v>
      </c>
      <c r="E139"/>
      <c r="F139"/>
    </row>
    <row r="140" spans="2:6" x14ac:dyDescent="0.25">
      <c r="B140" s="78">
        <v>50</v>
      </c>
      <c r="C140" s="79">
        <f t="shared" si="7"/>
        <v>7758.4576779143908</v>
      </c>
      <c r="D140" s="78" t="s">
        <v>169</v>
      </c>
      <c r="E140"/>
      <c r="F140"/>
    </row>
    <row r="141" spans="2:6" x14ac:dyDescent="0.25">
      <c r="B141" s="78">
        <v>51</v>
      </c>
      <c r="C141" s="79">
        <f t="shared" si="7"/>
        <v>8219.7995788988137</v>
      </c>
      <c r="D141" s="78" t="s">
        <v>158</v>
      </c>
      <c r="E141"/>
      <c r="F141"/>
    </row>
    <row r="142" spans="2:6" x14ac:dyDescent="0.25">
      <c r="B142" s="78">
        <v>52</v>
      </c>
      <c r="C142" s="79">
        <f t="shared" si="7"/>
        <v>8708.5742968733684</v>
      </c>
      <c r="D142" s="78" t="s">
        <v>159</v>
      </c>
      <c r="E142"/>
      <c r="F142"/>
    </row>
    <row r="143" spans="2:6" x14ac:dyDescent="0.25">
      <c r="B143" s="78">
        <v>53</v>
      </c>
      <c r="C143" s="79">
        <f t="shared" si="7"/>
        <v>9226.4130720232824</v>
      </c>
      <c r="D143" s="78" t="s">
        <v>160</v>
      </c>
      <c r="E143"/>
      <c r="F143"/>
    </row>
    <row r="144" spans="2:6" x14ac:dyDescent="0.25">
      <c r="B144" s="78">
        <v>54</v>
      </c>
      <c r="C144" s="79">
        <f t="shared" si="7"/>
        <v>9775.0441431228392</v>
      </c>
      <c r="D144" s="78" t="s">
        <v>161</v>
      </c>
      <c r="E144"/>
      <c r="F144"/>
    </row>
    <row r="145" spans="2:6" x14ac:dyDescent="0.25">
      <c r="B145" s="78">
        <v>55</v>
      </c>
      <c r="C145" s="79">
        <f t="shared" si="7"/>
        <v>10356.298515371631</v>
      </c>
      <c r="D145" s="78" t="s">
        <v>162</v>
      </c>
      <c r="E145"/>
      <c r="F145"/>
    </row>
    <row r="146" spans="2:6" x14ac:dyDescent="0.25">
      <c r="B146" s="78">
        <v>56</v>
      </c>
      <c r="C146" s="79">
        <f t="shared" si="7"/>
        <v>10972.116071204202</v>
      </c>
      <c r="D146" s="78" t="s">
        <v>163</v>
      </c>
      <c r="E146"/>
      <c r="F146"/>
    </row>
    <row r="147" spans="2:6" x14ac:dyDescent="0.25">
      <c r="B147" s="78">
        <v>57</v>
      </c>
      <c r="C147" s="79">
        <f t="shared" si="7"/>
        <v>11624.552044467357</v>
      </c>
      <c r="D147" s="78" t="s">
        <v>164</v>
      </c>
      <c r="E147"/>
      <c r="F147"/>
    </row>
    <row r="148" spans="2:6" x14ac:dyDescent="0.25">
      <c r="B148" s="78">
        <v>58</v>
      </c>
      <c r="C148" s="79">
        <f t="shared" si="7"/>
        <v>12315.783879572058</v>
      </c>
      <c r="D148" s="78" t="s">
        <v>165</v>
      </c>
      <c r="E148"/>
      <c r="F148"/>
    </row>
    <row r="149" spans="2:6" x14ac:dyDescent="0.25">
      <c r="B149" s="78">
        <v>59</v>
      </c>
      <c r="C149" s="79">
        <f t="shared" si="7"/>
        <v>13048.118498511742</v>
      </c>
      <c r="D149" s="78" t="s">
        <v>166</v>
      </c>
      <c r="E149"/>
      <c r="F149"/>
    </row>
    <row r="150" spans="2:6" x14ac:dyDescent="0.25">
      <c r="B150" s="78">
        <v>60</v>
      </c>
      <c r="C150" s="79">
        <f t="shared" si="7"/>
        <v>13824.000000000005</v>
      </c>
      <c r="D150" s="78" t="s">
        <v>167</v>
      </c>
      <c r="E150"/>
      <c r="F150"/>
    </row>
    <row r="151" spans="2:6" x14ac:dyDescent="0.25">
      <c r="B151" s="78">
        <v>61</v>
      </c>
      <c r="C151" s="79">
        <f t="shared" si="7"/>
        <v>14646.017816422904</v>
      </c>
      <c r="D151" s="80" t="s">
        <v>170</v>
      </c>
      <c r="E151"/>
      <c r="F151"/>
    </row>
    <row r="152" spans="2:6" x14ac:dyDescent="0.25">
      <c r="B152" s="78">
        <v>62</v>
      </c>
      <c r="C152" s="79">
        <f t="shared" si="7"/>
        <v>15516.915355828785</v>
      </c>
      <c r="D152" s="78" t="s">
        <v>169</v>
      </c>
      <c r="E152"/>
      <c r="F152"/>
    </row>
    <row r="153" spans="2:6" x14ac:dyDescent="0.25">
      <c r="B153" s="78">
        <v>63</v>
      </c>
      <c r="C153" s="79">
        <f t="shared" si="7"/>
        <v>16439.599157797627</v>
      </c>
      <c r="D153" s="78" t="s">
        <v>158</v>
      </c>
      <c r="E153"/>
      <c r="F153"/>
    </row>
    <row r="154" spans="2:6" x14ac:dyDescent="0.25">
      <c r="B154" s="78">
        <v>64</v>
      </c>
      <c r="C154" s="79">
        <f t="shared" si="7"/>
        <v>17417.148593746741</v>
      </c>
      <c r="D154" s="78" t="s">
        <v>159</v>
      </c>
      <c r="E154"/>
      <c r="F154"/>
    </row>
    <row r="155" spans="2:6" x14ac:dyDescent="0.25">
      <c r="B155" s="78">
        <v>65</v>
      </c>
      <c r="C155" s="79">
        <f t="shared" si="7"/>
        <v>18452.826144046572</v>
      </c>
      <c r="D155" s="78" t="s">
        <v>160</v>
      </c>
      <c r="E155"/>
      <c r="F155"/>
    </row>
    <row r="156" spans="2:6" x14ac:dyDescent="0.25">
      <c r="B156" s="78">
        <v>66</v>
      </c>
      <c r="C156" s="79">
        <f t="shared" si="7"/>
        <v>19550.088286245678</v>
      </c>
      <c r="D156" s="78" t="s">
        <v>161</v>
      </c>
      <c r="E156"/>
      <c r="F156"/>
    </row>
  </sheetData>
  <mergeCells count="12">
    <mergeCell ref="B11:D11"/>
    <mergeCell ref="E11:F11"/>
    <mergeCell ref="G11:O11"/>
    <mergeCell ref="B31:D31"/>
    <mergeCell ref="B2:O2"/>
    <mergeCell ref="I5:I6"/>
    <mergeCell ref="J5:J6"/>
    <mergeCell ref="K5:K6"/>
    <mergeCell ref="L5:L6"/>
    <mergeCell ref="M5:M6"/>
    <mergeCell ref="N5:N6"/>
    <mergeCell ref="O5:O6"/>
  </mergeCells>
  <hyperlinks>
    <hyperlink ref="D5" r:id="rId1"/>
    <hyperlink ref="F31" r:id="rId2"/>
    <hyperlink ref="I31" r:id="rId3"/>
    <hyperlink ref="D9" r:id="rId4"/>
    <hyperlink ref="D7" r:id="rId5"/>
    <hyperlink ref="D8" r:id="rId6"/>
    <hyperlink ref="D6" r:id="rId7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E11"/>
  <sheetViews>
    <sheetView showGridLines="0" zoomScale="200" zoomScaleNormal="200" workbookViewId="0">
      <selection activeCell="C6" sqref="C6"/>
    </sheetView>
  </sheetViews>
  <sheetFormatPr defaultRowHeight="15" x14ac:dyDescent="0.25"/>
  <cols>
    <col min="2" max="2" width="12.7109375" style="1" bestFit="1" customWidth="1"/>
    <col min="3" max="3" width="12" style="1" bestFit="1" customWidth="1"/>
    <col min="4" max="4" width="22" style="1" bestFit="1" customWidth="1"/>
    <col min="5" max="5" width="12.42578125" style="1" bestFit="1" customWidth="1"/>
  </cols>
  <sheetData>
    <row r="2" spans="2:5" x14ac:dyDescent="0.25">
      <c r="B2" s="159" t="s">
        <v>14</v>
      </c>
      <c r="C2" s="159"/>
      <c r="D2" s="159"/>
      <c r="E2" s="159"/>
    </row>
    <row r="3" spans="2:5" x14ac:dyDescent="0.25">
      <c r="B3" s="2" t="s">
        <v>11</v>
      </c>
      <c r="C3" s="3">
        <v>16000000</v>
      </c>
      <c r="D3" s="3" t="s">
        <v>1</v>
      </c>
      <c r="E3" s="3"/>
    </row>
    <row r="4" spans="2:5" x14ac:dyDescent="0.25">
      <c r="B4" s="2" t="s">
        <v>12</v>
      </c>
      <c r="C4" s="3">
        <v>1024</v>
      </c>
      <c r="D4" s="3" t="s">
        <v>13</v>
      </c>
      <c r="E4" s="3"/>
    </row>
    <row r="5" spans="2:5" x14ac:dyDescent="0.25">
      <c r="B5" s="2" t="s">
        <v>5</v>
      </c>
      <c r="C5" s="3">
        <f>C3/C4</f>
        <v>15625</v>
      </c>
      <c r="D5" s="3" t="s">
        <v>1</v>
      </c>
      <c r="E5" s="3"/>
    </row>
    <row r="6" spans="2:5" x14ac:dyDescent="0.25">
      <c r="B6" s="2" t="s">
        <v>0</v>
      </c>
      <c r="C6" s="3">
        <f>C5/1000</f>
        <v>15.625</v>
      </c>
      <c r="D6" s="3"/>
      <c r="E6" s="3"/>
    </row>
    <row r="7" spans="2:5" x14ac:dyDescent="0.25">
      <c r="B7" s="2" t="s">
        <v>2</v>
      </c>
      <c r="C7" s="3">
        <f>C6*20</f>
        <v>312.5</v>
      </c>
      <c r="D7" s="3" t="s">
        <v>6</v>
      </c>
      <c r="E7" s="3" t="s">
        <v>9</v>
      </c>
    </row>
    <row r="8" spans="2:5" x14ac:dyDescent="0.25">
      <c r="B8" s="2" t="s">
        <v>3</v>
      </c>
      <c r="C8" s="3">
        <f>C6</f>
        <v>15.625</v>
      </c>
      <c r="D8" s="3" t="s">
        <v>7</v>
      </c>
      <c r="E8" s="3" t="s">
        <v>8</v>
      </c>
    </row>
    <row r="9" spans="2:5" x14ac:dyDescent="0.25">
      <c r="B9" s="2" t="s">
        <v>4</v>
      </c>
      <c r="C9" s="3">
        <f>C6*2</f>
        <v>31.25</v>
      </c>
      <c r="D9" s="3" t="s">
        <v>10</v>
      </c>
      <c r="E9" s="3" t="s">
        <v>8</v>
      </c>
    </row>
    <row r="11" spans="2:5" x14ac:dyDescent="0.25">
      <c r="B11" s="120" t="s">
        <v>331</v>
      </c>
    </row>
  </sheetData>
  <mergeCells count="1">
    <mergeCell ref="B2:E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57"/>
  <sheetViews>
    <sheetView showGridLines="0" topLeftCell="A10" workbookViewId="0">
      <selection activeCell="K101" sqref="K101"/>
    </sheetView>
  </sheetViews>
  <sheetFormatPr defaultRowHeight="15" x14ac:dyDescent="0.25"/>
  <cols>
    <col min="2" max="2" width="12.140625" style="1" customWidth="1"/>
    <col min="3" max="3" width="9.28515625" style="1" bestFit="1" customWidth="1"/>
    <col min="4" max="4" width="8.5703125" style="1" bestFit="1" customWidth="1"/>
    <col min="5" max="5" width="11.140625" style="1" bestFit="1" customWidth="1"/>
    <col min="6" max="6" width="14" style="1" bestFit="1" customWidth="1"/>
    <col min="7" max="7" width="8.5703125" bestFit="1" customWidth="1"/>
    <col min="8" max="8" width="7.7109375" bestFit="1" customWidth="1"/>
    <col min="9" max="9" width="10.28515625" bestFit="1" customWidth="1"/>
    <col min="10" max="10" width="11.5703125" bestFit="1" customWidth="1"/>
    <col min="11" max="11" width="10.28515625" bestFit="1" customWidth="1"/>
    <col min="12" max="12" width="14.42578125" bestFit="1" customWidth="1"/>
    <col min="13" max="13" width="9.5703125" bestFit="1" customWidth="1"/>
    <col min="14" max="14" width="11.5703125" bestFit="1" customWidth="1"/>
    <col min="15" max="15" width="11" bestFit="1" customWidth="1"/>
  </cols>
  <sheetData>
    <row r="1" spans="2:15" ht="15.75" thickBot="1" x14ac:dyDescent="0.3"/>
    <row r="2" spans="2:15" ht="21.75" thickBot="1" x14ac:dyDescent="0.4">
      <c r="B2" s="154" t="s">
        <v>357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6"/>
    </row>
    <row r="4" spans="2:15" x14ac:dyDescent="0.25">
      <c r="B4" s="13" t="s">
        <v>28</v>
      </c>
    </row>
    <row r="5" spans="2:15" x14ac:dyDescent="0.25">
      <c r="B5" s="13"/>
      <c r="C5" s="140" t="s">
        <v>358</v>
      </c>
      <c r="D5" s="14" t="s">
        <v>359</v>
      </c>
    </row>
    <row r="6" spans="2:15" x14ac:dyDescent="0.25">
      <c r="C6" s="10" t="s">
        <v>29</v>
      </c>
      <c r="D6" s="14" t="s">
        <v>30</v>
      </c>
      <c r="H6" s="15"/>
      <c r="I6" s="157"/>
      <c r="J6" s="157"/>
      <c r="K6" s="157"/>
      <c r="L6" s="157"/>
      <c r="M6" s="157"/>
      <c r="N6" s="157"/>
      <c r="O6" s="157"/>
    </row>
    <row r="7" spans="2:15" ht="15.75" thickBot="1" x14ac:dyDescent="0.3">
      <c r="C7" s="10" t="s">
        <v>31</v>
      </c>
      <c r="D7" s="14" t="s">
        <v>32</v>
      </c>
      <c r="H7" s="15"/>
      <c r="I7" s="158"/>
      <c r="J7" s="158"/>
      <c r="K7" s="158"/>
      <c r="L7" s="158"/>
      <c r="M7" s="158"/>
      <c r="N7" s="158"/>
      <c r="O7" s="158"/>
    </row>
    <row r="8" spans="2:15" ht="15.75" thickTop="1" x14ac:dyDescent="0.25">
      <c r="C8" s="10" t="s">
        <v>33</v>
      </c>
      <c r="D8" s="14" t="s">
        <v>34</v>
      </c>
      <c r="H8" s="16"/>
      <c r="I8" s="17"/>
      <c r="J8" s="18"/>
      <c r="K8" s="18"/>
      <c r="L8" s="18"/>
      <c r="M8" s="18"/>
      <c r="N8" s="18"/>
      <c r="O8" s="18"/>
    </row>
    <row r="9" spans="2:15" ht="15.75" thickBot="1" x14ac:dyDescent="0.3">
      <c r="B9" s="19"/>
      <c r="C9" s="10" t="s">
        <v>35</v>
      </c>
      <c r="D9" s="20" t="s">
        <v>36</v>
      </c>
      <c r="H9" s="15"/>
      <c r="I9" s="21"/>
      <c r="J9" s="22"/>
      <c r="K9" s="23"/>
      <c r="L9" s="22"/>
      <c r="M9" s="23"/>
      <c r="N9" s="22"/>
      <c r="O9" s="23"/>
    </row>
    <row r="10" spans="2:15" s="19" customFormat="1" ht="16.5" thickTop="1" thickBot="1" x14ac:dyDescent="0.3">
      <c r="C10" s="10" t="s">
        <v>37</v>
      </c>
      <c r="D10" s="14" t="s">
        <v>175</v>
      </c>
      <c r="H10" s="15"/>
      <c r="I10" s="24" t="s">
        <v>39</v>
      </c>
      <c r="J10" s="25" t="s">
        <v>40</v>
      </c>
      <c r="K10" s="26" t="s">
        <v>39</v>
      </c>
      <c r="L10" s="25" t="s">
        <v>40</v>
      </c>
      <c r="M10" s="26" t="s">
        <v>39</v>
      </c>
      <c r="N10" s="27" t="s">
        <v>40</v>
      </c>
      <c r="O10" s="26" t="s">
        <v>39</v>
      </c>
    </row>
    <row r="11" spans="2:15" ht="16.5" thickTop="1" thickBot="1" x14ac:dyDescent="0.3"/>
    <row r="12" spans="2:15" ht="15.75" thickBot="1" x14ac:dyDescent="0.3">
      <c r="B12" s="147" t="s">
        <v>41</v>
      </c>
      <c r="C12" s="148"/>
      <c r="D12" s="149"/>
      <c r="E12" s="147" t="s">
        <v>42</v>
      </c>
      <c r="F12" s="149"/>
      <c r="G12" s="150" t="s">
        <v>43</v>
      </c>
      <c r="H12" s="151"/>
      <c r="I12" s="151"/>
      <c r="J12" s="151"/>
      <c r="K12" s="151"/>
      <c r="L12" s="151"/>
      <c r="M12" s="151"/>
      <c r="N12" s="151"/>
      <c r="O12" s="152"/>
    </row>
    <row r="13" spans="2:15" x14ac:dyDescent="0.25">
      <c r="B13" s="28" t="s">
        <v>41</v>
      </c>
      <c r="C13" s="29" t="s">
        <v>44</v>
      </c>
      <c r="D13" s="29" t="s">
        <v>45</v>
      </c>
      <c r="E13" s="29" t="s">
        <v>46</v>
      </c>
      <c r="F13" s="29" t="s">
        <v>47</v>
      </c>
      <c r="G13" s="29" t="s">
        <v>48</v>
      </c>
      <c r="H13" s="29" t="s">
        <v>49</v>
      </c>
      <c r="I13" s="29" t="s">
        <v>50</v>
      </c>
      <c r="J13" s="29" t="s">
        <v>51</v>
      </c>
      <c r="K13" s="29" t="s">
        <v>52</v>
      </c>
      <c r="L13" s="29" t="s">
        <v>53</v>
      </c>
      <c r="M13" s="29" t="s">
        <v>47</v>
      </c>
      <c r="N13" s="29" t="s">
        <v>54</v>
      </c>
      <c r="O13" s="30" t="s">
        <v>55</v>
      </c>
    </row>
    <row r="14" spans="2:15" x14ac:dyDescent="0.25">
      <c r="B14" s="31">
        <v>0</v>
      </c>
      <c r="C14" s="32">
        <v>0</v>
      </c>
      <c r="D14" s="32" t="s">
        <v>56</v>
      </c>
      <c r="E14" s="33">
        <v>16000000</v>
      </c>
      <c r="F14" s="34">
        <f>1/E14</f>
        <v>6.2499999999999997E-8</v>
      </c>
      <c r="G14" s="32">
        <v>1</v>
      </c>
      <c r="H14" s="33">
        <v>256</v>
      </c>
      <c r="I14" s="33">
        <v>0</v>
      </c>
      <c r="J14" s="33">
        <f>2</f>
        <v>2</v>
      </c>
      <c r="K14" s="35">
        <v>0.5</v>
      </c>
      <c r="L14" s="36">
        <f t="shared" ref="L14:L23" si="0">E14/G14/(H14-I14)/J14</f>
        <v>31250</v>
      </c>
      <c r="M14" s="37">
        <f t="shared" ref="M14:M23" si="1">1/L14</f>
        <v>3.1999999999999999E-5</v>
      </c>
      <c r="N14" s="34" t="str">
        <f t="shared" ref="N14:N23" si="2">IF(AND(L14&gt;20,L14&lt;20000),VLOOKUP(L14,NoteTable,2,TRUE),"?")</f>
        <v>?</v>
      </c>
      <c r="O14" s="38" t="str">
        <f t="shared" ref="O14:O23" si="3">IF(AND(L14&gt;20,L14&lt;20000),"Yes","No")</f>
        <v>No</v>
      </c>
    </row>
    <row r="15" spans="2:15" x14ac:dyDescent="0.25">
      <c r="B15" s="31">
        <v>0</v>
      </c>
      <c r="C15" s="32">
        <v>0</v>
      </c>
      <c r="D15" s="32" t="s">
        <v>56</v>
      </c>
      <c r="E15" s="33">
        <v>16000000</v>
      </c>
      <c r="F15" s="34">
        <f t="shared" ref="F15:F30" si="4">1/E15</f>
        <v>6.2499999999999997E-8</v>
      </c>
      <c r="G15" s="32">
        <v>8</v>
      </c>
      <c r="H15" s="33">
        <v>256</v>
      </c>
      <c r="I15" s="33">
        <v>0</v>
      </c>
      <c r="J15" s="33">
        <f>2</f>
        <v>2</v>
      </c>
      <c r="K15" s="35">
        <v>0.5</v>
      </c>
      <c r="L15" s="36">
        <f t="shared" si="0"/>
        <v>3906.25</v>
      </c>
      <c r="M15" s="37">
        <f t="shared" si="1"/>
        <v>2.5599999999999999E-4</v>
      </c>
      <c r="N15" s="34" t="str">
        <f t="shared" si="2"/>
        <v>A#7/Bb7</v>
      </c>
      <c r="O15" s="38" t="str">
        <f t="shared" si="3"/>
        <v>Yes</v>
      </c>
    </row>
    <row r="16" spans="2:15" x14ac:dyDescent="0.25">
      <c r="B16" s="31">
        <v>0</v>
      </c>
      <c r="C16" s="32">
        <v>0</v>
      </c>
      <c r="D16" s="32" t="s">
        <v>56</v>
      </c>
      <c r="E16" s="33">
        <v>16000000</v>
      </c>
      <c r="F16" s="34">
        <f t="shared" si="4"/>
        <v>6.2499999999999997E-8</v>
      </c>
      <c r="G16" s="32">
        <v>64</v>
      </c>
      <c r="H16" s="33">
        <v>256</v>
      </c>
      <c r="I16" s="33">
        <v>0</v>
      </c>
      <c r="J16" s="33">
        <f>2</f>
        <v>2</v>
      </c>
      <c r="K16" s="35">
        <v>0.5</v>
      </c>
      <c r="L16" s="36">
        <f t="shared" si="0"/>
        <v>488.28125</v>
      </c>
      <c r="M16" s="37">
        <f t="shared" si="1"/>
        <v>2.0479999999999999E-3</v>
      </c>
      <c r="N16" s="34" t="str">
        <f t="shared" si="2"/>
        <v>A#4/Bb4</v>
      </c>
      <c r="O16" s="38" t="str">
        <f t="shared" si="3"/>
        <v>Yes</v>
      </c>
    </row>
    <row r="17" spans="2:15" x14ac:dyDescent="0.25">
      <c r="B17" s="31">
        <v>0</v>
      </c>
      <c r="C17" s="32">
        <v>0</v>
      </c>
      <c r="D17" s="32" t="s">
        <v>56</v>
      </c>
      <c r="E17" s="33">
        <v>16000000</v>
      </c>
      <c r="F17" s="34">
        <f t="shared" si="4"/>
        <v>6.2499999999999997E-8</v>
      </c>
      <c r="G17" s="32">
        <v>256</v>
      </c>
      <c r="H17" s="33">
        <v>256</v>
      </c>
      <c r="I17" s="33">
        <v>0</v>
      </c>
      <c r="J17" s="33">
        <f>2</f>
        <v>2</v>
      </c>
      <c r="K17" s="35">
        <v>0.5</v>
      </c>
      <c r="L17" s="36">
        <f t="shared" si="0"/>
        <v>122.0703125</v>
      </c>
      <c r="M17" s="37">
        <f t="shared" si="1"/>
        <v>8.1919999999999996E-3</v>
      </c>
      <c r="N17" s="34" t="str">
        <f t="shared" si="2"/>
        <v>A#2/Bb2</v>
      </c>
      <c r="O17" s="38" t="str">
        <f t="shared" si="3"/>
        <v>Yes</v>
      </c>
    </row>
    <row r="18" spans="2:15" x14ac:dyDescent="0.25">
      <c r="B18" s="31">
        <v>0</v>
      </c>
      <c r="C18" s="32">
        <v>0</v>
      </c>
      <c r="D18" s="32" t="s">
        <v>56</v>
      </c>
      <c r="E18" s="33">
        <v>16000000</v>
      </c>
      <c r="F18" s="34">
        <f t="shared" si="4"/>
        <v>6.2499999999999997E-8</v>
      </c>
      <c r="G18" s="32">
        <v>1024</v>
      </c>
      <c r="H18" s="33">
        <v>256</v>
      </c>
      <c r="I18" s="33">
        <v>0</v>
      </c>
      <c r="J18" s="33">
        <f>2</f>
        <v>2</v>
      </c>
      <c r="K18" s="35">
        <v>0.5</v>
      </c>
      <c r="L18" s="36">
        <f t="shared" si="0"/>
        <v>30.517578125</v>
      </c>
      <c r="M18" s="37">
        <f t="shared" si="1"/>
        <v>3.2767999999999999E-2</v>
      </c>
      <c r="N18" s="34" t="str">
        <f t="shared" si="2"/>
        <v>A#1/Bb1</v>
      </c>
      <c r="O18" s="38" t="str">
        <f t="shared" si="3"/>
        <v>Yes</v>
      </c>
    </row>
    <row r="19" spans="2:15" x14ac:dyDescent="0.25">
      <c r="B19" s="39">
        <v>1</v>
      </c>
      <c r="C19" s="40">
        <v>0</v>
      </c>
      <c r="D19" s="40" t="s">
        <v>56</v>
      </c>
      <c r="E19" s="41">
        <v>16000000</v>
      </c>
      <c r="F19" s="42">
        <f t="shared" si="4"/>
        <v>6.2499999999999997E-8</v>
      </c>
      <c r="G19" s="40">
        <v>1</v>
      </c>
      <c r="H19" s="41">
        <v>65536</v>
      </c>
      <c r="I19" s="41">
        <v>0</v>
      </c>
      <c r="J19" s="41">
        <f>2</f>
        <v>2</v>
      </c>
      <c r="K19" s="43">
        <v>0.5</v>
      </c>
      <c r="L19" s="44">
        <f t="shared" si="0"/>
        <v>122.0703125</v>
      </c>
      <c r="M19" s="45">
        <f t="shared" si="1"/>
        <v>8.1919999999999996E-3</v>
      </c>
      <c r="N19" s="42" t="str">
        <f t="shared" si="2"/>
        <v>A#2/Bb2</v>
      </c>
      <c r="O19" s="46" t="str">
        <f t="shared" si="3"/>
        <v>Yes</v>
      </c>
    </row>
    <row r="20" spans="2:15" x14ac:dyDescent="0.25">
      <c r="B20" s="39">
        <v>1</v>
      </c>
      <c r="C20" s="40">
        <v>0</v>
      </c>
      <c r="D20" s="40" t="s">
        <v>56</v>
      </c>
      <c r="E20" s="41">
        <v>16000000</v>
      </c>
      <c r="F20" s="42">
        <f t="shared" si="4"/>
        <v>6.2499999999999997E-8</v>
      </c>
      <c r="G20" s="40">
        <v>8</v>
      </c>
      <c r="H20" s="41">
        <v>65536</v>
      </c>
      <c r="I20" s="41">
        <v>0</v>
      </c>
      <c r="J20" s="41">
        <f>2</f>
        <v>2</v>
      </c>
      <c r="K20" s="43">
        <v>0.5</v>
      </c>
      <c r="L20" s="44">
        <f t="shared" si="0"/>
        <v>15.2587890625</v>
      </c>
      <c r="M20" s="45">
        <f t="shared" si="1"/>
        <v>6.5535999999999997E-2</v>
      </c>
      <c r="N20" s="42" t="str">
        <f t="shared" si="2"/>
        <v>?</v>
      </c>
      <c r="O20" s="46" t="str">
        <f t="shared" si="3"/>
        <v>No</v>
      </c>
    </row>
    <row r="21" spans="2:15" x14ac:dyDescent="0.25">
      <c r="B21" s="39">
        <v>1</v>
      </c>
      <c r="C21" s="40">
        <v>0</v>
      </c>
      <c r="D21" s="40" t="s">
        <v>56</v>
      </c>
      <c r="E21" s="41">
        <v>16000000</v>
      </c>
      <c r="F21" s="42">
        <f t="shared" si="4"/>
        <v>6.2499999999999997E-8</v>
      </c>
      <c r="G21" s="40">
        <v>64</v>
      </c>
      <c r="H21" s="41">
        <v>65536</v>
      </c>
      <c r="I21" s="41">
        <v>0</v>
      </c>
      <c r="J21" s="41">
        <f>2</f>
        <v>2</v>
      </c>
      <c r="K21" s="43">
        <v>0.5</v>
      </c>
      <c r="L21" s="44">
        <f t="shared" si="0"/>
        <v>1.9073486328125</v>
      </c>
      <c r="M21" s="45">
        <f t="shared" si="1"/>
        <v>0.52428799999999998</v>
      </c>
      <c r="N21" s="42" t="str">
        <f t="shared" si="2"/>
        <v>?</v>
      </c>
      <c r="O21" s="46" t="str">
        <f t="shared" si="3"/>
        <v>No</v>
      </c>
    </row>
    <row r="22" spans="2:15" x14ac:dyDescent="0.25">
      <c r="B22" s="39">
        <v>1</v>
      </c>
      <c r="C22" s="40">
        <v>0</v>
      </c>
      <c r="D22" s="40" t="s">
        <v>56</v>
      </c>
      <c r="E22" s="41">
        <v>16000000</v>
      </c>
      <c r="F22" s="42">
        <f t="shared" si="4"/>
        <v>6.2499999999999997E-8</v>
      </c>
      <c r="G22" s="40">
        <v>256</v>
      </c>
      <c r="H22" s="41">
        <v>65536</v>
      </c>
      <c r="I22" s="41">
        <v>0</v>
      </c>
      <c r="J22" s="41">
        <f>2</f>
        <v>2</v>
      </c>
      <c r="K22" s="43">
        <v>0.5</v>
      </c>
      <c r="L22" s="44">
        <f t="shared" si="0"/>
        <v>0.476837158203125</v>
      </c>
      <c r="M22" s="45">
        <f t="shared" si="1"/>
        <v>2.0971519999999999</v>
      </c>
      <c r="N22" s="42" t="str">
        <f t="shared" si="2"/>
        <v>?</v>
      </c>
      <c r="O22" s="46" t="str">
        <f t="shared" si="3"/>
        <v>No</v>
      </c>
    </row>
    <row r="23" spans="2:15" x14ac:dyDescent="0.25">
      <c r="B23" s="39">
        <v>1</v>
      </c>
      <c r="C23" s="40">
        <v>0</v>
      </c>
      <c r="D23" s="40" t="s">
        <v>56</v>
      </c>
      <c r="E23" s="41">
        <v>16000000</v>
      </c>
      <c r="F23" s="42">
        <f t="shared" si="4"/>
        <v>6.2499999999999997E-8</v>
      </c>
      <c r="G23" s="40">
        <v>1024</v>
      </c>
      <c r="H23" s="41">
        <v>65536</v>
      </c>
      <c r="I23" s="41">
        <v>0</v>
      </c>
      <c r="J23" s="41">
        <f>2</f>
        <v>2</v>
      </c>
      <c r="K23" s="43">
        <v>0.5</v>
      </c>
      <c r="L23" s="44">
        <f t="shared" si="0"/>
        <v>0.11920928955078125</v>
      </c>
      <c r="M23" s="45">
        <f t="shared" si="1"/>
        <v>8.3886079999999996</v>
      </c>
      <c r="N23" s="42" t="str">
        <f t="shared" si="2"/>
        <v>?</v>
      </c>
      <c r="O23" s="46" t="str">
        <f t="shared" si="3"/>
        <v>No</v>
      </c>
    </row>
    <row r="24" spans="2:15" x14ac:dyDescent="0.25">
      <c r="B24" s="47">
        <v>2</v>
      </c>
      <c r="C24" s="48">
        <v>0</v>
      </c>
      <c r="D24" s="48" t="s">
        <v>56</v>
      </c>
      <c r="E24" s="49">
        <v>16000000</v>
      </c>
      <c r="F24" s="50">
        <f t="shared" si="4"/>
        <v>6.2499999999999997E-8</v>
      </c>
      <c r="G24" s="48">
        <v>1</v>
      </c>
      <c r="H24" s="49">
        <v>256</v>
      </c>
      <c r="I24" s="49">
        <v>0</v>
      </c>
      <c r="J24" s="49">
        <v>2</v>
      </c>
      <c r="K24" s="51">
        <v>0.5</v>
      </c>
      <c r="L24" s="52">
        <f>E24/G24/(H24-I24)/J24</f>
        <v>31250</v>
      </c>
      <c r="M24" s="53">
        <f>1/L24</f>
        <v>3.1999999999999999E-5</v>
      </c>
      <c r="N24" s="50" t="str">
        <f>IF(AND(L24&gt;20,L24&lt;20000),VLOOKUP(L24,NoteTable,2,TRUE),"?")</f>
        <v>?</v>
      </c>
      <c r="O24" s="54" t="str">
        <f>IF(AND(L24&gt;20,L24&lt;20000),"Yes","No")</f>
        <v>No</v>
      </c>
    </row>
    <row r="25" spans="2:15" x14ac:dyDescent="0.25">
      <c r="B25" s="47">
        <v>2</v>
      </c>
      <c r="C25" s="48">
        <v>0</v>
      </c>
      <c r="D25" s="48" t="s">
        <v>56</v>
      </c>
      <c r="E25" s="49">
        <v>16000000</v>
      </c>
      <c r="F25" s="50">
        <f t="shared" si="4"/>
        <v>6.2499999999999997E-8</v>
      </c>
      <c r="G25" s="48">
        <v>8</v>
      </c>
      <c r="H25" s="49">
        <v>256</v>
      </c>
      <c r="I25" s="49">
        <v>0</v>
      </c>
      <c r="J25" s="49">
        <v>2</v>
      </c>
      <c r="K25" s="51">
        <v>0.5</v>
      </c>
      <c r="L25" s="52">
        <f t="shared" ref="L25:L30" si="5">E25/G25/(H25-I25)/J25</f>
        <v>3906.25</v>
      </c>
      <c r="M25" s="53">
        <f t="shared" ref="M25:M30" si="6">1/L25</f>
        <v>2.5599999999999999E-4</v>
      </c>
      <c r="N25" s="50" t="str">
        <f t="shared" ref="N25:N30" si="7">IF(AND(L25&gt;20,L25&lt;20000),VLOOKUP(L25,NoteTable,2,TRUE),"?")</f>
        <v>A#7/Bb7</v>
      </c>
      <c r="O25" s="54" t="str">
        <f t="shared" ref="O25:O30" si="8">IF(AND(L25&gt;20,L25&lt;20000),"Yes","No")</f>
        <v>Yes</v>
      </c>
    </row>
    <row r="26" spans="2:15" x14ac:dyDescent="0.25">
      <c r="B26" s="47">
        <v>2</v>
      </c>
      <c r="C26" s="48">
        <v>0</v>
      </c>
      <c r="D26" s="48" t="s">
        <v>56</v>
      </c>
      <c r="E26" s="49">
        <v>16000000</v>
      </c>
      <c r="F26" s="50">
        <f t="shared" si="4"/>
        <v>6.2499999999999997E-8</v>
      </c>
      <c r="G26" s="48">
        <v>32</v>
      </c>
      <c r="H26" s="49">
        <v>256</v>
      </c>
      <c r="I26" s="49">
        <v>0</v>
      </c>
      <c r="J26" s="49">
        <v>2</v>
      </c>
      <c r="K26" s="51">
        <v>0.5</v>
      </c>
      <c r="L26" s="52">
        <f t="shared" si="5"/>
        <v>976.5625</v>
      </c>
      <c r="M26" s="53">
        <f t="shared" si="6"/>
        <v>1.024E-3</v>
      </c>
      <c r="N26" s="50" t="str">
        <f t="shared" si="7"/>
        <v>A#5/Bb5</v>
      </c>
      <c r="O26" s="54" t="str">
        <f t="shared" si="8"/>
        <v>Yes</v>
      </c>
    </row>
    <row r="27" spans="2:15" x14ac:dyDescent="0.25">
      <c r="B27" s="47">
        <v>2</v>
      </c>
      <c r="C27" s="48">
        <v>0</v>
      </c>
      <c r="D27" s="48" t="s">
        <v>56</v>
      </c>
      <c r="E27" s="49">
        <v>16000000</v>
      </c>
      <c r="F27" s="50">
        <f t="shared" si="4"/>
        <v>6.2499999999999997E-8</v>
      </c>
      <c r="G27" s="48">
        <v>64</v>
      </c>
      <c r="H27" s="49">
        <v>256</v>
      </c>
      <c r="I27" s="49">
        <v>0</v>
      </c>
      <c r="J27" s="49">
        <v>2</v>
      </c>
      <c r="K27" s="51">
        <v>0.5</v>
      </c>
      <c r="L27" s="52">
        <f t="shared" si="5"/>
        <v>488.28125</v>
      </c>
      <c r="M27" s="53">
        <f t="shared" si="6"/>
        <v>2.0479999999999999E-3</v>
      </c>
      <c r="N27" s="50" t="str">
        <f t="shared" si="7"/>
        <v>A#4/Bb4</v>
      </c>
      <c r="O27" s="54" t="str">
        <f t="shared" si="8"/>
        <v>Yes</v>
      </c>
    </row>
    <row r="28" spans="2:15" x14ac:dyDescent="0.25">
      <c r="B28" s="47">
        <v>2</v>
      </c>
      <c r="C28" s="48">
        <v>0</v>
      </c>
      <c r="D28" s="48" t="s">
        <v>56</v>
      </c>
      <c r="E28" s="49">
        <v>16000000</v>
      </c>
      <c r="F28" s="50">
        <f t="shared" si="4"/>
        <v>6.2499999999999997E-8</v>
      </c>
      <c r="G28" s="48">
        <v>128</v>
      </c>
      <c r="H28" s="49">
        <v>256</v>
      </c>
      <c r="I28" s="49">
        <v>0</v>
      </c>
      <c r="J28" s="49">
        <v>2</v>
      </c>
      <c r="K28" s="51">
        <v>0.5</v>
      </c>
      <c r="L28" s="52">
        <f t="shared" si="5"/>
        <v>244.140625</v>
      </c>
      <c r="M28" s="53">
        <f t="shared" si="6"/>
        <v>4.0959999999999998E-3</v>
      </c>
      <c r="N28" s="50" t="str">
        <f t="shared" si="7"/>
        <v>A#3/Bb3</v>
      </c>
      <c r="O28" s="54" t="str">
        <f t="shared" si="8"/>
        <v>Yes</v>
      </c>
    </row>
    <row r="29" spans="2:15" x14ac:dyDescent="0.25">
      <c r="B29" s="47">
        <v>2</v>
      </c>
      <c r="C29" s="48">
        <v>0</v>
      </c>
      <c r="D29" s="48" t="s">
        <v>56</v>
      </c>
      <c r="E29" s="49">
        <v>16000000</v>
      </c>
      <c r="F29" s="50">
        <f t="shared" si="4"/>
        <v>6.2499999999999997E-8</v>
      </c>
      <c r="G29" s="48">
        <v>256</v>
      </c>
      <c r="H29" s="49">
        <v>256</v>
      </c>
      <c r="I29" s="49">
        <v>0</v>
      </c>
      <c r="J29" s="49">
        <v>2</v>
      </c>
      <c r="K29" s="51">
        <v>0.5</v>
      </c>
      <c r="L29" s="52">
        <f t="shared" si="5"/>
        <v>122.0703125</v>
      </c>
      <c r="M29" s="53">
        <f t="shared" si="6"/>
        <v>8.1919999999999996E-3</v>
      </c>
      <c r="N29" s="50" t="str">
        <f t="shared" si="7"/>
        <v>A#2/Bb2</v>
      </c>
      <c r="O29" s="54" t="str">
        <f t="shared" si="8"/>
        <v>Yes</v>
      </c>
    </row>
    <row r="30" spans="2:15" ht="15.75" thickBot="1" x14ac:dyDescent="0.3">
      <c r="B30" s="55">
        <v>2</v>
      </c>
      <c r="C30" s="56">
        <v>0</v>
      </c>
      <c r="D30" s="56" t="s">
        <v>56</v>
      </c>
      <c r="E30" s="57">
        <v>16000000</v>
      </c>
      <c r="F30" s="58">
        <f t="shared" si="4"/>
        <v>6.2499999999999997E-8</v>
      </c>
      <c r="G30" s="56">
        <v>1024</v>
      </c>
      <c r="H30" s="49">
        <v>256</v>
      </c>
      <c r="I30" s="49">
        <v>0</v>
      </c>
      <c r="J30" s="49">
        <v>2</v>
      </c>
      <c r="K30" s="51">
        <v>0.5</v>
      </c>
      <c r="L30" s="52">
        <f t="shared" si="5"/>
        <v>30.517578125</v>
      </c>
      <c r="M30" s="53">
        <f t="shared" si="6"/>
        <v>3.2767999999999999E-2</v>
      </c>
      <c r="N30" s="50" t="str">
        <f t="shared" si="7"/>
        <v>A#1/Bb1</v>
      </c>
      <c r="O30" s="54" t="str">
        <f t="shared" si="8"/>
        <v>Yes</v>
      </c>
    </row>
    <row r="31" spans="2:15" s="1" customFormat="1" x14ac:dyDescent="0.25">
      <c r="F31" s="59"/>
      <c r="N31" s="60" t="s">
        <v>57</v>
      </c>
      <c r="O31" s="60" t="s">
        <v>58</v>
      </c>
    </row>
    <row r="32" spans="2:15" s="9" customFormat="1" x14ac:dyDescent="0.25">
      <c r="B32" s="153" t="s">
        <v>59</v>
      </c>
      <c r="C32" s="153"/>
      <c r="D32" s="153"/>
      <c r="E32" s="60"/>
      <c r="F32" s="61" t="s">
        <v>60</v>
      </c>
      <c r="G32" s="60">
        <v>440</v>
      </c>
      <c r="H32" s="60" t="s">
        <v>61</v>
      </c>
      <c r="I32" s="20" t="s">
        <v>30</v>
      </c>
    </row>
    <row r="33" spans="2:10" s="9" customFormat="1" x14ac:dyDescent="0.25">
      <c r="B33" s="62" t="s">
        <v>62</v>
      </c>
      <c r="C33" s="62" t="s">
        <v>63</v>
      </c>
      <c r="D33" s="62" t="s">
        <v>64</v>
      </c>
      <c r="E33" s="60"/>
      <c r="F33" s="63" t="s">
        <v>65</v>
      </c>
      <c r="G33" s="9">
        <f>2^(1/12)</f>
        <v>1.0594630943592953</v>
      </c>
    </row>
    <row r="34" spans="2:10" s="9" customFormat="1" x14ac:dyDescent="0.25">
      <c r="B34" s="64">
        <v>-57</v>
      </c>
      <c r="C34" s="65">
        <f t="shared" ref="C34:C97" si="9">$G$32*$G$33^B34</f>
        <v>16.351597831287403</v>
      </c>
      <c r="D34" s="66" t="s">
        <v>66</v>
      </c>
      <c r="E34" s="60"/>
      <c r="F34" s="63"/>
    </row>
    <row r="35" spans="2:10" s="9" customFormat="1" x14ac:dyDescent="0.25">
      <c r="B35" s="64">
        <v>-56</v>
      </c>
      <c r="C35" s="65">
        <f t="shared" si="9"/>
        <v>17.323914436054494</v>
      </c>
      <c r="D35" s="66" t="s">
        <v>67</v>
      </c>
      <c r="E35" s="60"/>
      <c r="F35" s="63"/>
    </row>
    <row r="36" spans="2:10" s="9" customFormat="1" x14ac:dyDescent="0.25">
      <c r="B36" s="64">
        <v>-55</v>
      </c>
      <c r="C36" s="65">
        <f t="shared" si="9"/>
        <v>18.354047994837956</v>
      </c>
      <c r="D36" s="66" t="s">
        <v>68</v>
      </c>
      <c r="E36" s="60"/>
      <c r="F36" s="104">
        <v>0</v>
      </c>
      <c r="G36" s="105">
        <f>$G$33^F36</f>
        <v>1</v>
      </c>
      <c r="H36" s="7"/>
    </row>
    <row r="37" spans="2:10" s="9" customFormat="1" x14ac:dyDescent="0.25">
      <c r="B37" s="64">
        <v>-54</v>
      </c>
      <c r="C37" s="65">
        <f t="shared" si="9"/>
        <v>19.445436482630047</v>
      </c>
      <c r="D37" s="66" t="s">
        <v>69</v>
      </c>
      <c r="E37" s="60"/>
      <c r="F37" s="104">
        <v>1</v>
      </c>
      <c r="G37" s="105">
        <f t="shared" ref="G37:G48" si="10">$G$33^F37</f>
        <v>1.0594630943592953</v>
      </c>
      <c r="H37" s="7"/>
    </row>
    <row r="38" spans="2:10" s="9" customFormat="1" x14ac:dyDescent="0.25">
      <c r="B38" s="64">
        <v>-53</v>
      </c>
      <c r="C38" s="65">
        <f t="shared" si="9"/>
        <v>20.601722307054363</v>
      </c>
      <c r="D38" s="66" t="s">
        <v>70</v>
      </c>
      <c r="E38" s="60"/>
      <c r="F38" s="106">
        <v>2</v>
      </c>
      <c r="G38" s="107">
        <f t="shared" si="10"/>
        <v>1.122462048309373</v>
      </c>
      <c r="H38" s="108" t="s">
        <v>199</v>
      </c>
      <c r="J38" s="9" t="s">
        <v>201</v>
      </c>
    </row>
    <row r="39" spans="2:10" s="9" customFormat="1" x14ac:dyDescent="0.25">
      <c r="B39" s="64">
        <v>-52</v>
      </c>
      <c r="C39" s="65">
        <f t="shared" si="9"/>
        <v>21.826764464562732</v>
      </c>
      <c r="D39" s="66" t="s">
        <v>71</v>
      </c>
      <c r="E39" s="60"/>
      <c r="F39" s="104">
        <v>3</v>
      </c>
      <c r="G39" s="105">
        <f t="shared" si="10"/>
        <v>1.1892071150027212</v>
      </c>
      <c r="H39" s="7"/>
      <c r="J39" s="9" t="s">
        <v>202</v>
      </c>
    </row>
    <row r="40" spans="2:10" s="9" customFormat="1" x14ac:dyDescent="0.25">
      <c r="B40" s="64">
        <v>-51</v>
      </c>
      <c r="C40" s="65">
        <f t="shared" si="9"/>
        <v>23.124651419477132</v>
      </c>
      <c r="D40" s="66" t="s">
        <v>72</v>
      </c>
      <c r="E40" s="60"/>
      <c r="F40" s="106">
        <v>4</v>
      </c>
      <c r="G40" s="107">
        <f t="shared" si="10"/>
        <v>1.2599210498948732</v>
      </c>
      <c r="H40" s="108" t="s">
        <v>198</v>
      </c>
    </row>
    <row r="41" spans="2:10" s="9" customFormat="1" x14ac:dyDescent="0.25">
      <c r="B41" s="64">
        <v>-50</v>
      </c>
      <c r="C41" s="65">
        <f t="shared" si="9"/>
        <v>24.499714748859315</v>
      </c>
      <c r="D41" s="66" t="s">
        <v>73</v>
      </c>
      <c r="E41" s="60"/>
      <c r="F41" s="104">
        <v>5</v>
      </c>
      <c r="G41" s="105">
        <f t="shared" si="10"/>
        <v>1.3348398541700344</v>
      </c>
      <c r="H41" s="7"/>
    </row>
    <row r="42" spans="2:10" s="9" customFormat="1" x14ac:dyDescent="0.25">
      <c r="B42" s="64">
        <v>-49</v>
      </c>
      <c r="C42" s="65">
        <f t="shared" si="9"/>
        <v>25.95654359874656</v>
      </c>
      <c r="D42" s="66" t="s">
        <v>74</v>
      </c>
      <c r="E42" s="60"/>
      <c r="F42" s="106">
        <v>6</v>
      </c>
      <c r="G42" s="107">
        <f t="shared" si="10"/>
        <v>1.4142135623730951</v>
      </c>
      <c r="H42" s="108" t="s">
        <v>194</v>
      </c>
    </row>
    <row r="43" spans="2:10" s="9" customFormat="1" x14ac:dyDescent="0.25">
      <c r="B43" s="64">
        <v>-48</v>
      </c>
      <c r="C43" s="65">
        <f t="shared" si="9"/>
        <v>27.499999999999989</v>
      </c>
      <c r="D43" s="66" t="s">
        <v>75</v>
      </c>
      <c r="E43" s="60"/>
      <c r="F43" s="104">
        <v>7</v>
      </c>
      <c r="G43" s="105">
        <f t="shared" si="10"/>
        <v>1.4983070768766817</v>
      </c>
      <c r="H43" s="7"/>
    </row>
    <row r="44" spans="2:10" s="9" customFormat="1" x14ac:dyDescent="0.25">
      <c r="B44" s="64">
        <v>-47</v>
      </c>
      <c r="C44" s="65">
        <f t="shared" si="9"/>
        <v>29.135235094880603</v>
      </c>
      <c r="D44" s="66" t="s">
        <v>76</v>
      </c>
      <c r="E44" s="60"/>
      <c r="F44" s="106">
        <v>8</v>
      </c>
      <c r="G44" s="107">
        <f t="shared" si="10"/>
        <v>1.5874010519681996</v>
      </c>
      <c r="H44" s="108" t="s">
        <v>195</v>
      </c>
    </row>
    <row r="45" spans="2:10" s="9" customFormat="1" x14ac:dyDescent="0.25">
      <c r="B45" s="64">
        <v>-46</v>
      </c>
      <c r="C45" s="65">
        <f t="shared" si="9"/>
        <v>30.86770632850774</v>
      </c>
      <c r="D45" s="66" t="s">
        <v>77</v>
      </c>
      <c r="E45" s="60"/>
      <c r="F45" s="104">
        <v>9</v>
      </c>
      <c r="G45" s="105">
        <f t="shared" si="10"/>
        <v>1.6817928305074292</v>
      </c>
      <c r="H45" s="7"/>
    </row>
    <row r="46" spans="2:10" s="9" customFormat="1" x14ac:dyDescent="0.25">
      <c r="B46" s="64">
        <v>-45</v>
      </c>
      <c r="C46" s="65">
        <f t="shared" si="9"/>
        <v>32.703195662574814</v>
      </c>
      <c r="D46" s="66" t="s">
        <v>78</v>
      </c>
      <c r="E46" s="60"/>
      <c r="F46" s="106">
        <v>10</v>
      </c>
      <c r="G46" s="107">
        <f t="shared" si="10"/>
        <v>1.7817974362806788</v>
      </c>
      <c r="H46" s="108" t="s">
        <v>196</v>
      </c>
    </row>
    <row r="47" spans="2:10" s="9" customFormat="1" x14ac:dyDescent="0.25">
      <c r="B47" s="64">
        <v>-44</v>
      </c>
      <c r="C47" s="65">
        <f t="shared" si="9"/>
        <v>34.647828872109002</v>
      </c>
      <c r="D47" s="66" t="s">
        <v>79</v>
      </c>
      <c r="E47" s="60"/>
      <c r="F47" s="104">
        <v>11</v>
      </c>
      <c r="G47" s="105">
        <f t="shared" si="10"/>
        <v>1.8877486253633875</v>
      </c>
      <c r="H47" s="7"/>
    </row>
    <row r="48" spans="2:10" s="9" customFormat="1" x14ac:dyDescent="0.25">
      <c r="B48" s="64">
        <v>-43</v>
      </c>
      <c r="C48" s="65">
        <f t="shared" si="9"/>
        <v>36.708095989675918</v>
      </c>
      <c r="D48" s="66" t="s">
        <v>80</v>
      </c>
      <c r="E48" s="60"/>
      <c r="F48" s="106">
        <v>12</v>
      </c>
      <c r="G48" s="107">
        <f t="shared" si="10"/>
        <v>2</v>
      </c>
      <c r="H48" s="109" t="s">
        <v>197</v>
      </c>
    </row>
    <row r="49" spans="2:6" s="9" customFormat="1" x14ac:dyDescent="0.25">
      <c r="B49" s="64">
        <v>-42</v>
      </c>
      <c r="C49" s="65">
        <f t="shared" si="9"/>
        <v>38.890872965260101</v>
      </c>
      <c r="D49" s="66" t="s">
        <v>81</v>
      </c>
      <c r="E49" s="60"/>
      <c r="F49" s="63"/>
    </row>
    <row r="50" spans="2:6" s="9" customFormat="1" x14ac:dyDescent="0.25">
      <c r="B50" s="64">
        <v>-41</v>
      </c>
      <c r="C50" s="65">
        <f t="shared" si="9"/>
        <v>41.203444614108726</v>
      </c>
      <c r="D50" s="66" t="s">
        <v>82</v>
      </c>
      <c r="E50" s="60"/>
      <c r="F50" s="63"/>
    </row>
    <row r="51" spans="2:6" s="9" customFormat="1" x14ac:dyDescent="0.25">
      <c r="B51" s="64">
        <v>-40</v>
      </c>
      <c r="C51" s="65">
        <f t="shared" si="9"/>
        <v>43.653528929125471</v>
      </c>
      <c r="D51" s="66" t="s">
        <v>83</v>
      </c>
      <c r="E51" s="60"/>
      <c r="F51" s="63"/>
    </row>
    <row r="52" spans="2:6" s="9" customFormat="1" x14ac:dyDescent="0.25">
      <c r="B52" s="64">
        <v>-39</v>
      </c>
      <c r="C52" s="65">
        <f t="shared" si="9"/>
        <v>46.249302838954272</v>
      </c>
      <c r="D52" s="66" t="s">
        <v>84</v>
      </c>
      <c r="E52" s="60"/>
      <c r="F52" s="63"/>
    </row>
    <row r="53" spans="2:6" s="9" customFormat="1" x14ac:dyDescent="0.25">
      <c r="B53" s="64">
        <v>-38</v>
      </c>
      <c r="C53" s="65">
        <f t="shared" si="9"/>
        <v>48.999429497718644</v>
      </c>
      <c r="D53" s="66" t="s">
        <v>85</v>
      </c>
      <c r="E53" s="60"/>
      <c r="F53" s="63"/>
    </row>
    <row r="54" spans="2:6" s="9" customFormat="1" x14ac:dyDescent="0.25">
      <c r="B54" s="64">
        <v>-37</v>
      </c>
      <c r="C54" s="65">
        <f t="shared" si="9"/>
        <v>51.913087197493134</v>
      </c>
      <c r="D54" s="66" t="s">
        <v>74</v>
      </c>
      <c r="E54" s="60"/>
      <c r="F54" s="63"/>
    </row>
    <row r="55" spans="2:6" s="9" customFormat="1" x14ac:dyDescent="0.25">
      <c r="B55" s="64">
        <v>-36</v>
      </c>
      <c r="C55" s="65">
        <f t="shared" si="9"/>
        <v>54.999999999999979</v>
      </c>
      <c r="D55" s="66" t="s">
        <v>86</v>
      </c>
      <c r="E55" s="60"/>
      <c r="F55" s="63"/>
    </row>
    <row r="56" spans="2:6" s="9" customFormat="1" x14ac:dyDescent="0.25">
      <c r="B56" s="64">
        <v>-35</v>
      </c>
      <c r="C56" s="65">
        <f t="shared" si="9"/>
        <v>58.270470189761205</v>
      </c>
      <c r="D56" s="66" t="s">
        <v>87</v>
      </c>
      <c r="E56" s="60"/>
      <c r="F56" s="63"/>
    </row>
    <row r="57" spans="2:6" s="9" customFormat="1" x14ac:dyDescent="0.25">
      <c r="B57" s="64">
        <v>-34</v>
      </c>
      <c r="C57" s="65">
        <f t="shared" si="9"/>
        <v>61.735412657015495</v>
      </c>
      <c r="D57" s="66" t="s">
        <v>88</v>
      </c>
      <c r="E57" s="60"/>
      <c r="F57" s="63"/>
    </row>
    <row r="58" spans="2:6" s="9" customFormat="1" x14ac:dyDescent="0.25">
      <c r="B58" s="64">
        <v>-33</v>
      </c>
      <c r="C58" s="65">
        <f t="shared" si="9"/>
        <v>65.406391325149627</v>
      </c>
      <c r="D58" s="66" t="s">
        <v>89</v>
      </c>
      <c r="E58" s="60"/>
      <c r="F58" s="63"/>
    </row>
    <row r="59" spans="2:6" s="9" customFormat="1" x14ac:dyDescent="0.25">
      <c r="B59" s="64">
        <v>-32</v>
      </c>
      <c r="C59" s="65">
        <f t="shared" si="9"/>
        <v>69.295657744218005</v>
      </c>
      <c r="D59" s="66" t="s">
        <v>90</v>
      </c>
      <c r="E59" s="60"/>
      <c r="F59" s="63"/>
    </row>
    <row r="60" spans="2:6" s="9" customFormat="1" x14ac:dyDescent="0.25">
      <c r="B60" s="64">
        <v>-31</v>
      </c>
      <c r="C60" s="65">
        <f t="shared" si="9"/>
        <v>73.416191979351865</v>
      </c>
      <c r="D60" s="66" t="s">
        <v>91</v>
      </c>
      <c r="E60" s="60"/>
      <c r="F60" s="63"/>
    </row>
    <row r="61" spans="2:6" s="9" customFormat="1" x14ac:dyDescent="0.25">
      <c r="B61" s="64">
        <v>-30</v>
      </c>
      <c r="C61" s="65">
        <f t="shared" si="9"/>
        <v>77.781745930520202</v>
      </c>
      <c r="D61" s="66" t="s">
        <v>92</v>
      </c>
      <c r="E61" s="60"/>
      <c r="F61" s="63"/>
    </row>
    <row r="62" spans="2:6" s="9" customFormat="1" x14ac:dyDescent="0.25">
      <c r="B62" s="64">
        <v>-29</v>
      </c>
      <c r="C62" s="65">
        <f t="shared" si="9"/>
        <v>82.406889228217466</v>
      </c>
      <c r="D62" s="66" t="s">
        <v>93</v>
      </c>
      <c r="E62" s="60"/>
      <c r="F62" s="63"/>
    </row>
    <row r="63" spans="2:6" s="9" customFormat="1" x14ac:dyDescent="0.25">
      <c r="B63" s="64">
        <v>-28</v>
      </c>
      <c r="C63" s="65">
        <f t="shared" si="9"/>
        <v>87.307057858250957</v>
      </c>
      <c r="D63" s="66" t="s">
        <v>94</v>
      </c>
      <c r="E63" s="60"/>
      <c r="F63" s="63"/>
    </row>
    <row r="64" spans="2:6" s="9" customFormat="1" x14ac:dyDescent="0.25">
      <c r="B64" s="64">
        <v>-27</v>
      </c>
      <c r="C64" s="65">
        <f t="shared" si="9"/>
        <v>92.498605677908543</v>
      </c>
      <c r="D64" s="66" t="s">
        <v>95</v>
      </c>
      <c r="E64" s="60"/>
      <c r="F64" s="63"/>
    </row>
    <row r="65" spans="2:8" s="9" customFormat="1" x14ac:dyDescent="0.25">
      <c r="B65" s="64">
        <v>-26</v>
      </c>
      <c r="C65" s="65">
        <f t="shared" si="9"/>
        <v>97.998858995437303</v>
      </c>
      <c r="D65" s="66" t="s">
        <v>96</v>
      </c>
      <c r="E65" s="60"/>
      <c r="F65" s="63"/>
    </row>
    <row r="66" spans="2:8" s="9" customFormat="1" x14ac:dyDescent="0.25">
      <c r="B66" s="64">
        <v>-25</v>
      </c>
      <c r="C66" s="65">
        <f t="shared" si="9"/>
        <v>103.82617439498627</v>
      </c>
      <c r="D66" s="66" t="s">
        <v>97</v>
      </c>
      <c r="E66" s="60"/>
      <c r="F66" s="63"/>
    </row>
    <row r="67" spans="2:8" s="9" customFormat="1" x14ac:dyDescent="0.25">
      <c r="B67" s="64">
        <v>-24</v>
      </c>
      <c r="C67" s="65">
        <f t="shared" si="9"/>
        <v>109.99999999999997</v>
      </c>
      <c r="D67" s="64" t="s">
        <v>86</v>
      </c>
      <c r="E67" s="60"/>
      <c r="F67" s="63"/>
    </row>
    <row r="68" spans="2:8" s="9" customFormat="1" x14ac:dyDescent="0.25">
      <c r="B68" s="64">
        <v>-23</v>
      </c>
      <c r="C68" s="65">
        <f t="shared" si="9"/>
        <v>116.54094037952244</v>
      </c>
      <c r="D68" s="64" t="s">
        <v>87</v>
      </c>
      <c r="E68" s="60"/>
      <c r="F68" s="63"/>
    </row>
    <row r="69" spans="2:8" s="9" customFormat="1" x14ac:dyDescent="0.25">
      <c r="B69" s="64">
        <v>-22</v>
      </c>
      <c r="C69" s="65">
        <f t="shared" si="9"/>
        <v>123.470825314031</v>
      </c>
      <c r="D69" s="64" t="s">
        <v>88</v>
      </c>
      <c r="E69" s="60"/>
      <c r="F69" s="63"/>
    </row>
    <row r="70" spans="2:8" s="9" customFormat="1" x14ac:dyDescent="0.25">
      <c r="B70" s="64">
        <v>-21</v>
      </c>
      <c r="C70" s="65">
        <f t="shared" si="9"/>
        <v>130.81278265029928</v>
      </c>
      <c r="D70" s="64" t="s">
        <v>98</v>
      </c>
      <c r="E70" s="60"/>
      <c r="F70" s="63"/>
    </row>
    <row r="71" spans="2:8" s="9" customFormat="1" x14ac:dyDescent="0.25">
      <c r="B71" s="64">
        <v>-20</v>
      </c>
      <c r="C71" s="65">
        <f t="shared" si="9"/>
        <v>138.59131548843604</v>
      </c>
      <c r="D71" s="66" t="s">
        <v>99</v>
      </c>
      <c r="E71" s="60"/>
      <c r="F71" s="63"/>
    </row>
    <row r="72" spans="2:8" s="9" customFormat="1" x14ac:dyDescent="0.25">
      <c r="B72" s="64">
        <v>-19</v>
      </c>
      <c r="C72" s="65">
        <f t="shared" si="9"/>
        <v>146.83238395870373</v>
      </c>
      <c r="D72" s="66" t="s">
        <v>100</v>
      </c>
      <c r="E72" s="60"/>
      <c r="F72" s="63"/>
    </row>
    <row r="73" spans="2:8" s="9" customFormat="1" x14ac:dyDescent="0.25">
      <c r="B73" s="64">
        <v>-18</v>
      </c>
      <c r="C73" s="65">
        <f t="shared" si="9"/>
        <v>155.5634918610404</v>
      </c>
      <c r="D73" s="66" t="s">
        <v>101</v>
      </c>
      <c r="E73" s="60"/>
      <c r="F73" s="63"/>
    </row>
    <row r="74" spans="2:8" s="9" customFormat="1" x14ac:dyDescent="0.25">
      <c r="B74" s="64">
        <v>-17</v>
      </c>
      <c r="C74" s="65">
        <f t="shared" si="9"/>
        <v>164.81377845643493</v>
      </c>
      <c r="D74" s="66" t="s">
        <v>102</v>
      </c>
      <c r="E74" s="60"/>
      <c r="F74" s="63"/>
    </row>
    <row r="75" spans="2:8" s="9" customFormat="1" x14ac:dyDescent="0.25">
      <c r="B75" s="64">
        <v>-16</v>
      </c>
      <c r="C75" s="65">
        <f t="shared" si="9"/>
        <v>174.61411571650191</v>
      </c>
      <c r="D75" s="66" t="s">
        <v>103</v>
      </c>
      <c r="E75" s="60"/>
      <c r="F75" s="63"/>
    </row>
    <row r="76" spans="2:8" s="9" customFormat="1" x14ac:dyDescent="0.25">
      <c r="B76" s="64">
        <v>-15</v>
      </c>
      <c r="C76" s="65">
        <f t="shared" si="9"/>
        <v>184.99721135581717</v>
      </c>
      <c r="D76" s="66" t="s">
        <v>104</v>
      </c>
      <c r="E76" s="60"/>
      <c r="F76" s="63"/>
    </row>
    <row r="77" spans="2:8" s="9" customFormat="1" x14ac:dyDescent="0.25">
      <c r="B77" s="64">
        <v>-14</v>
      </c>
      <c r="C77" s="65">
        <f t="shared" si="9"/>
        <v>195.99771799087461</v>
      </c>
      <c r="D77" s="66" t="s">
        <v>105</v>
      </c>
      <c r="E77" s="60"/>
      <c r="F77" s="63"/>
    </row>
    <row r="78" spans="2:8" s="9" customFormat="1" x14ac:dyDescent="0.25">
      <c r="B78" s="64">
        <v>-13</v>
      </c>
      <c r="C78" s="65">
        <f t="shared" si="9"/>
        <v>207.65234878997256</v>
      </c>
      <c r="D78" s="66" t="s">
        <v>106</v>
      </c>
      <c r="E78" s="60"/>
      <c r="F78" s="1"/>
      <c r="G78"/>
      <c r="H78"/>
    </row>
    <row r="79" spans="2:8" s="9" customFormat="1" x14ac:dyDescent="0.25">
      <c r="B79" s="64">
        <v>-12</v>
      </c>
      <c r="C79" s="65">
        <f t="shared" si="9"/>
        <v>220</v>
      </c>
      <c r="D79" s="66" t="s">
        <v>107</v>
      </c>
      <c r="E79" s="60"/>
      <c r="F79" s="1"/>
      <c r="G79"/>
      <c r="H79"/>
    </row>
    <row r="80" spans="2:8" x14ac:dyDescent="0.25">
      <c r="B80" s="64">
        <v>-11</v>
      </c>
      <c r="C80" s="65">
        <f t="shared" si="9"/>
        <v>233.08188075904491</v>
      </c>
      <c r="D80" s="66" t="s">
        <v>108</v>
      </c>
    </row>
    <row r="81" spans="2:4" x14ac:dyDescent="0.25">
      <c r="B81" s="64">
        <v>-10</v>
      </c>
      <c r="C81" s="65">
        <f t="shared" si="9"/>
        <v>246.94165062806201</v>
      </c>
      <c r="D81" s="66" t="s">
        <v>109</v>
      </c>
    </row>
    <row r="82" spans="2:4" x14ac:dyDescent="0.25">
      <c r="B82" s="64">
        <v>-9</v>
      </c>
      <c r="C82" s="65">
        <f t="shared" si="9"/>
        <v>261.62556530059862</v>
      </c>
      <c r="D82" s="66" t="s">
        <v>110</v>
      </c>
    </row>
    <row r="83" spans="2:4" x14ac:dyDescent="0.25">
      <c r="B83" s="64">
        <v>-8</v>
      </c>
      <c r="C83" s="65">
        <f t="shared" si="9"/>
        <v>277.18263097687208</v>
      </c>
      <c r="D83" s="66" t="s">
        <v>111</v>
      </c>
    </row>
    <row r="84" spans="2:4" x14ac:dyDescent="0.25">
      <c r="B84" s="64">
        <v>-7</v>
      </c>
      <c r="C84" s="65">
        <f t="shared" si="9"/>
        <v>293.66476791740752</v>
      </c>
      <c r="D84" s="66" t="s">
        <v>112</v>
      </c>
    </row>
    <row r="85" spans="2:4" x14ac:dyDescent="0.25">
      <c r="B85" s="64">
        <v>-6</v>
      </c>
      <c r="C85" s="65">
        <f t="shared" si="9"/>
        <v>311.12698372208087</v>
      </c>
      <c r="D85" s="66" t="s">
        <v>113</v>
      </c>
    </row>
    <row r="86" spans="2:4" x14ac:dyDescent="0.25">
      <c r="B86" s="64">
        <v>-5</v>
      </c>
      <c r="C86" s="65">
        <f t="shared" si="9"/>
        <v>329.62755691286992</v>
      </c>
      <c r="D86" s="66" t="s">
        <v>114</v>
      </c>
    </row>
    <row r="87" spans="2:4" x14ac:dyDescent="0.25">
      <c r="B87" s="64">
        <v>-4</v>
      </c>
      <c r="C87" s="65">
        <f t="shared" si="9"/>
        <v>349.22823143300388</v>
      </c>
      <c r="D87" s="66" t="s">
        <v>115</v>
      </c>
    </row>
    <row r="88" spans="2:4" x14ac:dyDescent="0.25">
      <c r="B88" s="64">
        <v>-3</v>
      </c>
      <c r="C88" s="65">
        <f t="shared" si="9"/>
        <v>369.99442271163434</v>
      </c>
      <c r="D88" s="66" t="s">
        <v>116</v>
      </c>
    </row>
    <row r="89" spans="2:4" x14ac:dyDescent="0.25">
      <c r="B89" s="64">
        <v>-2</v>
      </c>
      <c r="C89" s="65">
        <f t="shared" si="9"/>
        <v>391.99543598174927</v>
      </c>
      <c r="D89" s="66" t="s">
        <v>117</v>
      </c>
    </row>
    <row r="90" spans="2:4" ht="15.75" thickBot="1" x14ac:dyDescent="0.3">
      <c r="B90" s="67">
        <v>-1</v>
      </c>
      <c r="C90" s="65">
        <f t="shared" si="9"/>
        <v>415.30469757994513</v>
      </c>
      <c r="D90" s="68" t="s">
        <v>118</v>
      </c>
    </row>
    <row r="91" spans="2:4" ht="15.75" thickBot="1" x14ac:dyDescent="0.3">
      <c r="B91" s="69">
        <v>0</v>
      </c>
      <c r="C91" s="65">
        <f t="shared" si="9"/>
        <v>440</v>
      </c>
      <c r="D91" s="70" t="s">
        <v>119</v>
      </c>
    </row>
    <row r="92" spans="2:4" x14ac:dyDescent="0.25">
      <c r="B92" s="71">
        <v>1</v>
      </c>
      <c r="C92" s="65">
        <f t="shared" si="9"/>
        <v>466.16376151808993</v>
      </c>
      <c r="D92" s="71" t="s">
        <v>120</v>
      </c>
    </row>
    <row r="93" spans="2:4" x14ac:dyDescent="0.25">
      <c r="B93" s="64">
        <v>2</v>
      </c>
      <c r="C93" s="65">
        <f t="shared" si="9"/>
        <v>493.88330125612413</v>
      </c>
      <c r="D93" s="64" t="s">
        <v>121</v>
      </c>
    </row>
    <row r="94" spans="2:4" x14ac:dyDescent="0.25">
      <c r="B94" s="64">
        <v>3</v>
      </c>
      <c r="C94" s="65">
        <f t="shared" si="9"/>
        <v>523.25113060119736</v>
      </c>
      <c r="D94" s="64" t="s">
        <v>122</v>
      </c>
    </row>
    <row r="95" spans="2:4" x14ac:dyDescent="0.25">
      <c r="B95" s="64">
        <v>4</v>
      </c>
      <c r="C95" s="65">
        <f t="shared" si="9"/>
        <v>554.36526195374415</v>
      </c>
      <c r="D95" s="64" t="s">
        <v>123</v>
      </c>
    </row>
    <row r="96" spans="2:4" x14ac:dyDescent="0.25">
      <c r="B96" s="64">
        <v>5</v>
      </c>
      <c r="C96" s="65">
        <f t="shared" si="9"/>
        <v>587.32953583481515</v>
      </c>
      <c r="D96" s="64" t="s">
        <v>124</v>
      </c>
    </row>
    <row r="97" spans="2:11" x14ac:dyDescent="0.25">
      <c r="B97" s="64">
        <v>6</v>
      </c>
      <c r="C97" s="65">
        <f t="shared" si="9"/>
        <v>622.25396744416184</v>
      </c>
      <c r="D97" s="64" t="s">
        <v>125</v>
      </c>
    </row>
    <row r="98" spans="2:11" x14ac:dyDescent="0.25">
      <c r="B98" s="64">
        <v>7</v>
      </c>
      <c r="C98" s="65">
        <f t="shared" ref="C98:C157" si="11">$G$32*$G$33^B98</f>
        <v>659.25511382573995</v>
      </c>
      <c r="D98" s="64" t="s">
        <v>126</v>
      </c>
    </row>
    <row r="99" spans="2:11" x14ac:dyDescent="0.25">
      <c r="B99" s="64">
        <v>8</v>
      </c>
      <c r="C99" s="65">
        <f t="shared" si="11"/>
        <v>698.45646286600777</v>
      </c>
      <c r="D99" s="64" t="s">
        <v>127</v>
      </c>
    </row>
    <row r="100" spans="2:11" x14ac:dyDescent="0.25">
      <c r="B100" s="64">
        <v>9</v>
      </c>
      <c r="C100" s="65">
        <f t="shared" si="11"/>
        <v>739.98884542326891</v>
      </c>
      <c r="D100" s="64" t="s">
        <v>128</v>
      </c>
      <c r="K100">
        <f>16000000/256/128</f>
        <v>488.28125</v>
      </c>
    </row>
    <row r="101" spans="2:11" x14ac:dyDescent="0.25">
      <c r="B101" s="64">
        <v>10</v>
      </c>
      <c r="C101" s="65">
        <f t="shared" si="11"/>
        <v>783.99087196349865</v>
      </c>
      <c r="D101" s="64" t="s">
        <v>129</v>
      </c>
    </row>
    <row r="102" spans="2:11" x14ac:dyDescent="0.25">
      <c r="B102" s="64">
        <v>11</v>
      </c>
      <c r="C102" s="65">
        <f t="shared" si="11"/>
        <v>830.60939515989048</v>
      </c>
      <c r="D102" s="64" t="s">
        <v>130</v>
      </c>
    </row>
    <row r="103" spans="2:11" x14ac:dyDescent="0.25">
      <c r="B103" s="64">
        <v>12</v>
      </c>
      <c r="C103" s="65">
        <f t="shared" si="11"/>
        <v>880</v>
      </c>
      <c r="D103" s="64" t="s">
        <v>131</v>
      </c>
    </row>
    <row r="104" spans="2:11" x14ac:dyDescent="0.25">
      <c r="B104" s="64">
        <v>13</v>
      </c>
      <c r="C104" s="65">
        <f t="shared" si="11"/>
        <v>932.32752303617985</v>
      </c>
      <c r="D104" s="64" t="s">
        <v>132</v>
      </c>
    </row>
    <row r="105" spans="2:11" x14ac:dyDescent="0.25">
      <c r="B105" s="64">
        <v>14</v>
      </c>
      <c r="C105" s="65">
        <f t="shared" si="11"/>
        <v>987.76660251224848</v>
      </c>
      <c r="D105" s="64" t="s">
        <v>133</v>
      </c>
    </row>
    <row r="106" spans="2:11" x14ac:dyDescent="0.25">
      <c r="B106" s="64">
        <v>15</v>
      </c>
      <c r="C106" s="65">
        <f t="shared" si="11"/>
        <v>1046.5022612023947</v>
      </c>
      <c r="D106" s="64" t="s">
        <v>134</v>
      </c>
    </row>
    <row r="107" spans="2:11" x14ac:dyDescent="0.25">
      <c r="B107" s="64">
        <v>16</v>
      </c>
      <c r="C107" s="65">
        <f t="shared" si="11"/>
        <v>1108.7305239074885</v>
      </c>
      <c r="D107" s="64" t="s">
        <v>135</v>
      </c>
    </row>
    <row r="108" spans="2:11" x14ac:dyDescent="0.25">
      <c r="B108" s="64">
        <v>17</v>
      </c>
      <c r="C108" s="65">
        <f t="shared" si="11"/>
        <v>1174.6590716696305</v>
      </c>
      <c r="D108" s="64" t="s">
        <v>136</v>
      </c>
    </row>
    <row r="109" spans="2:11" x14ac:dyDescent="0.25">
      <c r="B109" s="64">
        <v>18</v>
      </c>
      <c r="C109" s="65">
        <f t="shared" si="11"/>
        <v>1244.5079348883239</v>
      </c>
      <c r="D109" s="64" t="s">
        <v>137</v>
      </c>
    </row>
    <row r="110" spans="2:11" x14ac:dyDescent="0.25">
      <c r="B110" s="64">
        <v>19</v>
      </c>
      <c r="C110" s="65">
        <f t="shared" si="11"/>
        <v>1318.5102276514801</v>
      </c>
      <c r="D110" s="64" t="s">
        <v>138</v>
      </c>
    </row>
    <row r="111" spans="2:11" x14ac:dyDescent="0.25">
      <c r="B111" s="64">
        <v>20</v>
      </c>
      <c r="C111" s="65">
        <f t="shared" si="11"/>
        <v>1396.9129257320158</v>
      </c>
      <c r="D111" s="64" t="s">
        <v>139</v>
      </c>
    </row>
    <row r="112" spans="2:11" x14ac:dyDescent="0.25">
      <c r="B112" s="64">
        <v>21</v>
      </c>
      <c r="C112" s="65">
        <f t="shared" si="11"/>
        <v>1479.9776908465378</v>
      </c>
      <c r="D112" s="64" t="s">
        <v>140</v>
      </c>
    </row>
    <row r="113" spans="2:4" x14ac:dyDescent="0.25">
      <c r="B113" s="64">
        <v>22</v>
      </c>
      <c r="C113" s="65">
        <f t="shared" si="11"/>
        <v>1567.9817439269975</v>
      </c>
      <c r="D113" s="64" t="s">
        <v>141</v>
      </c>
    </row>
    <row r="114" spans="2:4" x14ac:dyDescent="0.25">
      <c r="B114" s="64">
        <v>23</v>
      </c>
      <c r="C114" s="65">
        <f t="shared" si="11"/>
        <v>1661.2187903197812</v>
      </c>
      <c r="D114" s="64" t="s">
        <v>142</v>
      </c>
    </row>
    <row r="115" spans="2:4" x14ac:dyDescent="0.25">
      <c r="B115" s="64">
        <v>24</v>
      </c>
      <c r="C115" s="65">
        <f t="shared" si="11"/>
        <v>1760.0000000000005</v>
      </c>
      <c r="D115" s="64" t="s">
        <v>143</v>
      </c>
    </row>
    <row r="116" spans="2:4" x14ac:dyDescent="0.25">
      <c r="B116" s="64">
        <v>25</v>
      </c>
      <c r="C116" s="65">
        <f t="shared" si="11"/>
        <v>1864.6550460723602</v>
      </c>
      <c r="D116" s="64" t="s">
        <v>144</v>
      </c>
    </row>
    <row r="117" spans="2:4" x14ac:dyDescent="0.25">
      <c r="B117" s="64">
        <v>26</v>
      </c>
      <c r="C117" s="65">
        <f t="shared" si="11"/>
        <v>1975.533205024497</v>
      </c>
      <c r="D117" s="64" t="s">
        <v>145</v>
      </c>
    </row>
    <row r="118" spans="2:4" x14ac:dyDescent="0.25">
      <c r="B118" s="64">
        <v>27</v>
      </c>
      <c r="C118" s="65">
        <f t="shared" si="11"/>
        <v>2093.0045224047904</v>
      </c>
      <c r="D118" s="64" t="s">
        <v>146</v>
      </c>
    </row>
    <row r="119" spans="2:4" x14ac:dyDescent="0.25">
      <c r="B119" s="64">
        <v>28</v>
      </c>
      <c r="C119" s="65">
        <f t="shared" si="11"/>
        <v>2217.4610478149771</v>
      </c>
      <c r="D119" s="64" t="s">
        <v>147</v>
      </c>
    </row>
    <row r="120" spans="2:4" x14ac:dyDescent="0.25">
      <c r="B120" s="64">
        <v>29</v>
      </c>
      <c r="C120" s="65">
        <f t="shared" si="11"/>
        <v>2349.318143339261</v>
      </c>
      <c r="D120" s="64" t="s">
        <v>148</v>
      </c>
    </row>
    <row r="121" spans="2:4" x14ac:dyDescent="0.25">
      <c r="B121" s="64">
        <v>30</v>
      </c>
      <c r="C121" s="65">
        <f t="shared" si="11"/>
        <v>2489.0158697766483</v>
      </c>
      <c r="D121" s="64" t="s">
        <v>149</v>
      </c>
    </row>
    <row r="122" spans="2:4" x14ac:dyDescent="0.25">
      <c r="B122" s="64">
        <v>31</v>
      </c>
      <c r="C122" s="65">
        <f t="shared" si="11"/>
        <v>2637.0204553029603</v>
      </c>
      <c r="D122" s="64" t="s">
        <v>150</v>
      </c>
    </row>
    <row r="123" spans="2:4" x14ac:dyDescent="0.25">
      <c r="B123" s="64">
        <v>32</v>
      </c>
      <c r="C123" s="65">
        <f t="shared" si="11"/>
        <v>2793.825851464032</v>
      </c>
      <c r="D123" s="64" t="s">
        <v>151</v>
      </c>
    </row>
    <row r="124" spans="2:4" x14ac:dyDescent="0.25">
      <c r="B124" s="64">
        <v>33</v>
      </c>
      <c r="C124" s="65">
        <f t="shared" si="11"/>
        <v>2959.9553816930761</v>
      </c>
      <c r="D124" s="64" t="s">
        <v>152</v>
      </c>
    </row>
    <row r="125" spans="2:4" x14ac:dyDescent="0.25">
      <c r="B125" s="64">
        <v>34</v>
      </c>
      <c r="C125" s="65">
        <f t="shared" si="11"/>
        <v>3135.9634878539955</v>
      </c>
      <c r="D125" s="64" t="s">
        <v>153</v>
      </c>
    </row>
    <row r="126" spans="2:4" x14ac:dyDescent="0.25">
      <c r="B126" s="64">
        <v>35</v>
      </c>
      <c r="C126" s="65">
        <f t="shared" si="11"/>
        <v>3322.4375806395628</v>
      </c>
      <c r="D126" s="64" t="s">
        <v>154</v>
      </c>
    </row>
    <row r="127" spans="2:4" x14ac:dyDescent="0.25">
      <c r="B127" s="64">
        <v>36</v>
      </c>
      <c r="C127" s="65">
        <f t="shared" si="11"/>
        <v>3520.0000000000014</v>
      </c>
      <c r="D127" s="64" t="s">
        <v>155</v>
      </c>
    </row>
    <row r="128" spans="2:4" x14ac:dyDescent="0.25">
      <c r="B128" s="64">
        <v>37</v>
      </c>
      <c r="C128" s="65">
        <f t="shared" si="11"/>
        <v>3729.3100921447203</v>
      </c>
      <c r="D128" s="64" t="s">
        <v>156</v>
      </c>
    </row>
    <row r="129" spans="2:4" x14ac:dyDescent="0.25">
      <c r="B129" s="64">
        <v>38</v>
      </c>
      <c r="C129" s="65">
        <f t="shared" si="11"/>
        <v>3951.0664100489944</v>
      </c>
      <c r="D129" s="64" t="s">
        <v>157</v>
      </c>
    </row>
    <row r="130" spans="2:4" x14ac:dyDescent="0.25">
      <c r="B130" s="64">
        <v>39</v>
      </c>
      <c r="C130" s="65">
        <f t="shared" si="11"/>
        <v>4186.0090448095807</v>
      </c>
      <c r="D130" s="64" t="s">
        <v>158</v>
      </c>
    </row>
    <row r="131" spans="2:4" x14ac:dyDescent="0.25">
      <c r="B131" s="64">
        <v>40</v>
      </c>
      <c r="C131" s="65">
        <f t="shared" si="11"/>
        <v>4434.922095629955</v>
      </c>
      <c r="D131" s="64" t="s">
        <v>159</v>
      </c>
    </row>
    <row r="132" spans="2:4" x14ac:dyDescent="0.25">
      <c r="B132" s="64">
        <v>41</v>
      </c>
      <c r="C132" s="65">
        <f t="shared" si="11"/>
        <v>4698.636286678523</v>
      </c>
      <c r="D132" s="64" t="s">
        <v>160</v>
      </c>
    </row>
    <row r="133" spans="2:4" x14ac:dyDescent="0.25">
      <c r="B133" s="64">
        <v>42</v>
      </c>
      <c r="C133" s="65">
        <f t="shared" si="11"/>
        <v>4978.0317395532966</v>
      </c>
      <c r="D133" s="64" t="s">
        <v>161</v>
      </c>
    </row>
    <row r="134" spans="2:4" x14ac:dyDescent="0.25">
      <c r="B134" s="64">
        <v>43</v>
      </c>
      <c r="C134" s="65">
        <f t="shared" si="11"/>
        <v>5274.0409106059224</v>
      </c>
      <c r="D134" s="64" t="s">
        <v>162</v>
      </c>
    </row>
    <row r="135" spans="2:4" x14ac:dyDescent="0.25">
      <c r="B135" s="64">
        <v>44</v>
      </c>
      <c r="C135" s="65">
        <f t="shared" si="11"/>
        <v>5587.651702928064</v>
      </c>
      <c r="D135" s="64" t="s">
        <v>163</v>
      </c>
    </row>
    <row r="136" spans="2:4" x14ac:dyDescent="0.25">
      <c r="B136" s="64">
        <v>45</v>
      </c>
      <c r="C136" s="65">
        <f t="shared" si="11"/>
        <v>5919.9107633861522</v>
      </c>
      <c r="D136" s="64" t="s">
        <v>164</v>
      </c>
    </row>
    <row r="137" spans="2:4" x14ac:dyDescent="0.25">
      <c r="B137" s="64">
        <v>46</v>
      </c>
      <c r="C137" s="65">
        <f t="shared" si="11"/>
        <v>6271.9269757079928</v>
      </c>
      <c r="D137" s="64" t="s">
        <v>165</v>
      </c>
    </row>
    <row r="138" spans="2:4" x14ac:dyDescent="0.25">
      <c r="B138" s="64">
        <v>47</v>
      </c>
      <c r="C138" s="65">
        <f t="shared" si="11"/>
        <v>6644.8751612791257</v>
      </c>
      <c r="D138" s="64" t="s">
        <v>166</v>
      </c>
    </row>
    <row r="139" spans="2:4" x14ac:dyDescent="0.25">
      <c r="B139" s="64">
        <v>48</v>
      </c>
      <c r="C139" s="65">
        <f t="shared" si="11"/>
        <v>7040.0000000000027</v>
      </c>
      <c r="D139" s="64" t="s">
        <v>167</v>
      </c>
    </row>
    <row r="140" spans="2:4" x14ac:dyDescent="0.25">
      <c r="B140" s="64">
        <v>49</v>
      </c>
      <c r="C140" s="65">
        <f t="shared" si="11"/>
        <v>7458.6201842894425</v>
      </c>
      <c r="D140" s="64" t="s">
        <v>168</v>
      </c>
    </row>
    <row r="141" spans="2:4" x14ac:dyDescent="0.25">
      <c r="B141" s="64">
        <v>50</v>
      </c>
      <c r="C141" s="65">
        <f t="shared" si="11"/>
        <v>7902.1328200979906</v>
      </c>
      <c r="D141" s="64" t="s">
        <v>169</v>
      </c>
    </row>
    <row r="142" spans="2:4" x14ac:dyDescent="0.25">
      <c r="B142" s="64">
        <v>51</v>
      </c>
      <c r="C142" s="65">
        <f t="shared" si="11"/>
        <v>8372.0180896191614</v>
      </c>
      <c r="D142" s="64" t="s">
        <v>158</v>
      </c>
    </row>
    <row r="143" spans="2:4" x14ac:dyDescent="0.25">
      <c r="B143" s="64">
        <v>52</v>
      </c>
      <c r="C143" s="65">
        <f t="shared" si="11"/>
        <v>8869.8441912599119</v>
      </c>
      <c r="D143" s="64" t="s">
        <v>159</v>
      </c>
    </row>
    <row r="144" spans="2:4" x14ac:dyDescent="0.25">
      <c r="B144" s="64">
        <v>53</v>
      </c>
      <c r="C144" s="65">
        <f t="shared" si="11"/>
        <v>9397.272573357046</v>
      </c>
      <c r="D144" s="64" t="s">
        <v>160</v>
      </c>
    </row>
    <row r="145" spans="2:4" x14ac:dyDescent="0.25">
      <c r="B145" s="64">
        <v>54</v>
      </c>
      <c r="C145" s="65">
        <f t="shared" si="11"/>
        <v>9956.063479106595</v>
      </c>
      <c r="D145" s="64" t="s">
        <v>161</v>
      </c>
    </row>
    <row r="146" spans="2:4" x14ac:dyDescent="0.25">
      <c r="B146" s="64">
        <v>55</v>
      </c>
      <c r="C146" s="65">
        <f t="shared" si="11"/>
        <v>10548.081821211847</v>
      </c>
      <c r="D146" s="64" t="s">
        <v>162</v>
      </c>
    </row>
    <row r="147" spans="2:4" x14ac:dyDescent="0.25">
      <c r="B147" s="64">
        <v>56</v>
      </c>
      <c r="C147" s="65">
        <f t="shared" si="11"/>
        <v>11175.303405856132</v>
      </c>
      <c r="D147" s="64" t="s">
        <v>163</v>
      </c>
    </row>
    <row r="148" spans="2:4" x14ac:dyDescent="0.25">
      <c r="B148" s="64">
        <v>57</v>
      </c>
      <c r="C148" s="65">
        <f t="shared" si="11"/>
        <v>11839.821526772308</v>
      </c>
      <c r="D148" s="64" t="s">
        <v>164</v>
      </c>
    </row>
    <row r="149" spans="2:4" x14ac:dyDescent="0.25">
      <c r="B149" s="64">
        <v>58</v>
      </c>
      <c r="C149" s="65">
        <f t="shared" si="11"/>
        <v>12543.853951415986</v>
      </c>
      <c r="D149" s="64" t="s">
        <v>165</v>
      </c>
    </row>
    <row r="150" spans="2:4" x14ac:dyDescent="0.25">
      <c r="B150" s="64">
        <v>59</v>
      </c>
      <c r="C150" s="65">
        <f t="shared" si="11"/>
        <v>13289.750322558255</v>
      </c>
      <c r="D150" s="64" t="s">
        <v>166</v>
      </c>
    </row>
    <row r="151" spans="2:4" x14ac:dyDescent="0.25">
      <c r="B151" s="64">
        <v>60</v>
      </c>
      <c r="C151" s="65">
        <f t="shared" si="11"/>
        <v>14080.000000000005</v>
      </c>
      <c r="D151" s="64" t="s">
        <v>167</v>
      </c>
    </row>
    <row r="152" spans="2:4" x14ac:dyDescent="0.25">
      <c r="B152" s="64">
        <v>61</v>
      </c>
      <c r="C152" s="65">
        <f t="shared" si="11"/>
        <v>14917.240368578885</v>
      </c>
      <c r="D152" s="66" t="s">
        <v>170</v>
      </c>
    </row>
    <row r="153" spans="2:4" x14ac:dyDescent="0.25">
      <c r="B153" s="64">
        <v>62</v>
      </c>
      <c r="C153" s="65">
        <f t="shared" si="11"/>
        <v>15804.265640195985</v>
      </c>
      <c r="D153" s="64" t="s">
        <v>169</v>
      </c>
    </row>
    <row r="154" spans="2:4" x14ac:dyDescent="0.25">
      <c r="B154" s="64">
        <v>63</v>
      </c>
      <c r="C154" s="65">
        <f t="shared" si="11"/>
        <v>16744.036179238323</v>
      </c>
      <c r="D154" s="64" t="s">
        <v>158</v>
      </c>
    </row>
    <row r="155" spans="2:4" x14ac:dyDescent="0.25">
      <c r="B155" s="64">
        <v>64</v>
      </c>
      <c r="C155" s="65">
        <f t="shared" si="11"/>
        <v>17739.688382519827</v>
      </c>
      <c r="D155" s="64" t="s">
        <v>159</v>
      </c>
    </row>
    <row r="156" spans="2:4" x14ac:dyDescent="0.25">
      <c r="B156" s="64">
        <v>65</v>
      </c>
      <c r="C156" s="65">
        <f t="shared" si="11"/>
        <v>18794.545146714099</v>
      </c>
      <c r="D156" s="64" t="s">
        <v>160</v>
      </c>
    </row>
    <row r="157" spans="2:4" x14ac:dyDescent="0.25">
      <c r="B157" s="64">
        <v>66</v>
      </c>
      <c r="C157" s="65">
        <f t="shared" si="11"/>
        <v>19912.126958213194</v>
      </c>
      <c r="D157" s="64" t="s">
        <v>161</v>
      </c>
    </row>
  </sheetData>
  <mergeCells count="12">
    <mergeCell ref="B12:D12"/>
    <mergeCell ref="E12:F12"/>
    <mergeCell ref="G12:O12"/>
    <mergeCell ref="B32:D32"/>
    <mergeCell ref="B2:O2"/>
    <mergeCell ref="I6:I7"/>
    <mergeCell ref="J6:J7"/>
    <mergeCell ref="K6:K7"/>
    <mergeCell ref="L6:L7"/>
    <mergeCell ref="M6:M7"/>
    <mergeCell ref="N6:N7"/>
    <mergeCell ref="O6:O7"/>
  </mergeCells>
  <hyperlinks>
    <hyperlink ref="F32" r:id="rId1"/>
    <hyperlink ref="I32" r:id="rId2"/>
    <hyperlink ref="D6" r:id="rId3"/>
    <hyperlink ref="D10" r:id="rId4"/>
    <hyperlink ref="D8" r:id="rId5"/>
    <hyperlink ref="D9" r:id="rId6"/>
    <hyperlink ref="D7" r:id="rId7"/>
    <hyperlink ref="D5" r:id="rId8"/>
  </hyperlinks>
  <pageMargins left="0.7" right="0.7" top="0.75" bottom="0.75" header="0.3" footer="0.3"/>
  <pageSetup orientation="portrait"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B1" workbookViewId="0">
      <selection activeCell="B10" sqref="B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I15"/>
  <sheetViews>
    <sheetView showGridLines="0" zoomScale="130" zoomScaleNormal="130" workbookViewId="0">
      <selection activeCell="C4" sqref="C4"/>
    </sheetView>
  </sheetViews>
  <sheetFormatPr defaultRowHeight="15" x14ac:dyDescent="0.25"/>
  <cols>
    <col min="1" max="1" width="4" customWidth="1"/>
    <col min="2" max="2" width="16.7109375" bestFit="1" customWidth="1"/>
    <col min="3" max="3" width="11.42578125" customWidth="1"/>
    <col min="4" max="4" width="22" bestFit="1" customWidth="1"/>
    <col min="5" max="5" width="12.42578125" bestFit="1" customWidth="1"/>
    <col min="6" max="6" width="2.42578125" customWidth="1"/>
  </cols>
  <sheetData>
    <row r="2" spans="2:9" x14ac:dyDescent="0.25">
      <c r="B2" s="159" t="s">
        <v>297</v>
      </c>
      <c r="C2" s="159"/>
      <c r="D2" s="159"/>
      <c r="E2" s="159"/>
      <c r="G2" s="142" t="s">
        <v>219</v>
      </c>
      <c r="H2" s="142" t="s">
        <v>293</v>
      </c>
      <c r="I2" s="142" t="s">
        <v>287</v>
      </c>
    </row>
    <row r="3" spans="2:9" x14ac:dyDescent="0.25">
      <c r="B3" s="4" t="s">
        <v>11</v>
      </c>
      <c r="C3" s="3">
        <v>16000000</v>
      </c>
      <c r="D3" s="3" t="s">
        <v>15</v>
      </c>
      <c r="E3" s="92" t="s">
        <v>181</v>
      </c>
      <c r="G3" s="80">
        <v>0</v>
      </c>
      <c r="H3" s="80" t="str">
        <f>TEXT(DEC2BIN(G3),"000")</f>
        <v>000</v>
      </c>
      <c r="I3" s="80" t="s">
        <v>296</v>
      </c>
    </row>
    <row r="4" spans="2:9" x14ac:dyDescent="0.25">
      <c r="B4" s="4" t="s">
        <v>12</v>
      </c>
      <c r="C4" s="3">
        <v>256</v>
      </c>
      <c r="D4" s="3" t="s">
        <v>18</v>
      </c>
      <c r="E4" s="92" t="s">
        <v>48</v>
      </c>
      <c r="G4" s="3">
        <v>1</v>
      </c>
      <c r="H4" s="124" t="str">
        <f>TEXT(DEC2BIN(G4),"000")</f>
        <v>001</v>
      </c>
      <c r="I4" s="3">
        <v>1</v>
      </c>
    </row>
    <row r="5" spans="2:9" x14ac:dyDescent="0.25">
      <c r="B5" s="4" t="s">
        <v>5</v>
      </c>
      <c r="C5" s="3">
        <f>C3/C4</f>
        <v>62500</v>
      </c>
      <c r="D5" s="3" t="s">
        <v>20</v>
      </c>
      <c r="E5" s="92"/>
      <c r="G5" s="3">
        <v>2</v>
      </c>
      <c r="H5" s="124" t="str">
        <f t="shared" ref="H5:H10" si="0">TEXT(DEC2BIN(G5),"000")</f>
        <v>010</v>
      </c>
      <c r="I5" s="3">
        <v>8</v>
      </c>
    </row>
    <row r="6" spans="2:9" x14ac:dyDescent="0.25">
      <c r="B6" s="4" t="s">
        <v>16</v>
      </c>
      <c r="C6" s="3">
        <v>65536</v>
      </c>
      <c r="D6" s="3" t="s">
        <v>327</v>
      </c>
      <c r="E6" s="92" t="s">
        <v>49</v>
      </c>
      <c r="G6" s="3">
        <v>3</v>
      </c>
      <c r="H6" s="124" t="str">
        <f t="shared" si="0"/>
        <v>011</v>
      </c>
      <c r="I6" s="3">
        <v>64</v>
      </c>
    </row>
    <row r="7" spans="2:9" x14ac:dyDescent="0.25">
      <c r="B7" s="111" t="s">
        <v>227</v>
      </c>
      <c r="C7" s="3">
        <v>0</v>
      </c>
      <c r="D7" s="3" t="s">
        <v>328</v>
      </c>
      <c r="E7" s="92"/>
      <c r="G7" s="3">
        <v>4</v>
      </c>
      <c r="H7" s="124" t="str">
        <f t="shared" si="0"/>
        <v>100</v>
      </c>
      <c r="I7" s="3">
        <v>256</v>
      </c>
    </row>
    <row r="8" spans="2:9" x14ac:dyDescent="0.25">
      <c r="B8" s="4" t="s">
        <v>288</v>
      </c>
      <c r="C8" s="6">
        <f>C5/(C6-C7)</f>
        <v>0.95367431640625</v>
      </c>
      <c r="D8" s="3" t="s">
        <v>290</v>
      </c>
      <c r="E8" s="92"/>
      <c r="G8" s="3">
        <v>5</v>
      </c>
      <c r="H8" s="124" t="str">
        <f t="shared" si="0"/>
        <v>101</v>
      </c>
      <c r="I8" s="3">
        <v>1024</v>
      </c>
    </row>
    <row r="9" spans="2:9" x14ac:dyDescent="0.25">
      <c r="B9" s="121" t="s">
        <v>291</v>
      </c>
      <c r="C9" s="6">
        <f>1000/C8</f>
        <v>1048.576</v>
      </c>
      <c r="D9" s="3" t="s">
        <v>285</v>
      </c>
      <c r="E9" s="92"/>
      <c r="G9" s="3">
        <v>6</v>
      </c>
      <c r="H9" s="124" t="str">
        <f t="shared" si="0"/>
        <v>110</v>
      </c>
      <c r="I9" s="3" t="s">
        <v>294</v>
      </c>
    </row>
    <row r="10" spans="2:9" x14ac:dyDescent="0.25">
      <c r="B10" s="125" t="s">
        <v>289</v>
      </c>
      <c r="C10" s="6">
        <f>C8/2</f>
        <v>0.476837158203125</v>
      </c>
      <c r="D10" s="3" t="s">
        <v>226</v>
      </c>
      <c r="E10" s="92" t="s">
        <v>182</v>
      </c>
      <c r="G10" s="3">
        <v>7</v>
      </c>
      <c r="H10" s="124" t="str">
        <f t="shared" si="0"/>
        <v>111</v>
      </c>
      <c r="I10" s="3" t="s">
        <v>295</v>
      </c>
    </row>
    <row r="11" spans="2:9" x14ac:dyDescent="0.25">
      <c r="B11" s="125" t="s">
        <v>292</v>
      </c>
      <c r="C11" s="6">
        <f>1000/C10</f>
        <v>2097.152</v>
      </c>
      <c r="D11" s="3" t="s">
        <v>285</v>
      </c>
      <c r="E11" s="3"/>
      <c r="G11" s="59"/>
      <c r="H11" s="126"/>
      <c r="I11" s="59"/>
    </row>
    <row r="12" spans="2:9" x14ac:dyDescent="0.25">
      <c r="B12" s="11"/>
      <c r="C12" s="7"/>
      <c r="D12" s="7"/>
      <c r="E12" s="7"/>
    </row>
    <row r="13" spans="2:9" x14ac:dyDescent="0.25">
      <c r="B13" s="12"/>
    </row>
    <row r="14" spans="2:9" x14ac:dyDescent="0.25">
      <c r="B14" s="8"/>
    </row>
    <row r="15" spans="2:9" x14ac:dyDescent="0.25">
      <c r="B15" s="7"/>
    </row>
  </sheetData>
  <mergeCells count="1">
    <mergeCell ref="B2:E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0"/>
  <sheetViews>
    <sheetView showGridLines="0" zoomScale="130" zoomScaleNormal="130" workbookViewId="0">
      <selection activeCell="C5" sqref="C5"/>
    </sheetView>
  </sheetViews>
  <sheetFormatPr defaultRowHeight="15" x14ac:dyDescent="0.25"/>
  <cols>
    <col min="1" max="1" width="2.140625" customWidth="1"/>
    <col min="2" max="2" width="16.7109375" bestFit="1" customWidth="1"/>
    <col min="3" max="3" width="11.42578125" customWidth="1"/>
    <col min="4" max="4" width="22" bestFit="1" customWidth="1"/>
    <col min="5" max="5" width="12.42578125" bestFit="1" customWidth="1"/>
    <col min="6" max="6" width="2.28515625" customWidth="1"/>
    <col min="8" max="9" width="9.140625" style="1"/>
  </cols>
  <sheetData>
    <row r="2" spans="2:13" x14ac:dyDescent="0.25">
      <c r="B2" s="159" t="s">
        <v>298</v>
      </c>
      <c r="C2" s="159"/>
      <c r="D2" s="159"/>
      <c r="E2" s="159"/>
      <c r="G2" s="142" t="s">
        <v>219</v>
      </c>
      <c r="H2" s="142" t="s">
        <v>286</v>
      </c>
      <c r="I2" s="142" t="s">
        <v>287</v>
      </c>
    </row>
    <row r="3" spans="2:13" x14ac:dyDescent="0.25">
      <c r="B3" s="121" t="s">
        <v>11</v>
      </c>
      <c r="C3" s="3">
        <v>16000000</v>
      </c>
      <c r="D3" s="3" t="s">
        <v>15</v>
      </c>
      <c r="E3" s="92" t="s">
        <v>181</v>
      </c>
      <c r="G3" s="80">
        <v>0</v>
      </c>
      <c r="H3" s="80" t="str">
        <f>TEXT(DEC2BIN(G3),"000")</f>
        <v>000</v>
      </c>
      <c r="I3" s="80" t="s">
        <v>296</v>
      </c>
    </row>
    <row r="4" spans="2:13" x14ac:dyDescent="0.25">
      <c r="B4" s="121" t="s">
        <v>12</v>
      </c>
      <c r="C4" s="3">
        <v>256</v>
      </c>
      <c r="D4" s="3" t="s">
        <v>18</v>
      </c>
      <c r="E4" s="92" t="s">
        <v>48</v>
      </c>
      <c r="G4" s="3">
        <v>1</v>
      </c>
      <c r="H4" s="124" t="str">
        <f>TEXT(DEC2BIN(G4),"000")</f>
        <v>001</v>
      </c>
      <c r="I4" s="3">
        <v>1</v>
      </c>
    </row>
    <row r="5" spans="2:13" x14ac:dyDescent="0.25">
      <c r="B5" s="121" t="s">
        <v>5</v>
      </c>
      <c r="C5" s="3">
        <f>C3/C4</f>
        <v>62500</v>
      </c>
      <c r="D5" s="3" t="s">
        <v>20</v>
      </c>
      <c r="E5" s="92"/>
      <c r="G5" s="3">
        <v>2</v>
      </c>
      <c r="H5" s="124" t="str">
        <f t="shared" ref="H5:H10" si="0">TEXT(DEC2BIN(G5),"000")</f>
        <v>010</v>
      </c>
      <c r="I5" s="3">
        <v>8</v>
      </c>
    </row>
    <row r="6" spans="2:13" x14ac:dyDescent="0.25">
      <c r="B6" s="121" t="s">
        <v>16</v>
      </c>
      <c r="C6" s="3">
        <v>256</v>
      </c>
      <c r="D6" s="3" t="s">
        <v>17</v>
      </c>
      <c r="E6" s="92" t="s">
        <v>49</v>
      </c>
      <c r="G6" s="3">
        <v>3</v>
      </c>
      <c r="H6" s="124" t="str">
        <f t="shared" si="0"/>
        <v>011</v>
      </c>
      <c r="I6" s="3">
        <v>32</v>
      </c>
    </row>
    <row r="7" spans="2:13" x14ac:dyDescent="0.25">
      <c r="B7" s="121" t="s">
        <v>187</v>
      </c>
      <c r="C7" s="3">
        <v>0</v>
      </c>
      <c r="D7" s="3" t="s">
        <v>329</v>
      </c>
      <c r="E7" s="92"/>
      <c r="G7" s="3">
        <v>4</v>
      </c>
      <c r="H7" s="124" t="str">
        <f t="shared" si="0"/>
        <v>100</v>
      </c>
      <c r="I7" s="3">
        <v>64</v>
      </c>
    </row>
    <row r="8" spans="2:13" x14ac:dyDescent="0.25">
      <c r="B8" s="121" t="s">
        <v>288</v>
      </c>
      <c r="C8" s="123">
        <f>C5/(C6-C7)</f>
        <v>244.140625</v>
      </c>
      <c r="D8" s="3" t="s">
        <v>290</v>
      </c>
      <c r="E8" s="92"/>
      <c r="G8" s="3">
        <v>5</v>
      </c>
      <c r="H8" s="124" t="str">
        <f t="shared" si="0"/>
        <v>101</v>
      </c>
      <c r="I8" s="3">
        <v>128</v>
      </c>
    </row>
    <row r="9" spans="2:13" x14ac:dyDescent="0.25">
      <c r="B9" s="121" t="s">
        <v>291</v>
      </c>
      <c r="C9" s="123">
        <f>1000/C8</f>
        <v>4.0960000000000001</v>
      </c>
      <c r="D9" s="3" t="s">
        <v>285</v>
      </c>
      <c r="E9" s="92"/>
      <c r="G9" s="3">
        <v>6</v>
      </c>
      <c r="H9" s="124" t="str">
        <f t="shared" si="0"/>
        <v>110</v>
      </c>
      <c r="I9" s="3">
        <v>256</v>
      </c>
    </row>
    <row r="10" spans="2:13" x14ac:dyDescent="0.25">
      <c r="B10" s="125" t="s">
        <v>289</v>
      </c>
      <c r="C10" s="6">
        <f>C8/2</f>
        <v>122.0703125</v>
      </c>
      <c r="D10" s="3" t="s">
        <v>226</v>
      </c>
      <c r="E10" s="92" t="s">
        <v>182</v>
      </c>
      <c r="G10" s="3">
        <v>7</v>
      </c>
      <c r="H10" s="124" t="str">
        <f t="shared" si="0"/>
        <v>111</v>
      </c>
      <c r="I10" s="3">
        <v>1024</v>
      </c>
    </row>
    <row r="11" spans="2:13" x14ac:dyDescent="0.25">
      <c r="B11" s="125" t="s">
        <v>292</v>
      </c>
      <c r="C11" s="123">
        <f>1000/C10</f>
        <v>8.1920000000000002</v>
      </c>
      <c r="D11" s="3">
        <v>0</v>
      </c>
      <c r="E11" s="3"/>
    </row>
    <row r="12" spans="2:13" x14ac:dyDescent="0.25">
      <c r="B12" s="11"/>
      <c r="C12" s="7"/>
      <c r="D12" s="7"/>
      <c r="E12" s="7"/>
    </row>
    <row r="13" spans="2:13" x14ac:dyDescent="0.25">
      <c r="B13" s="12"/>
    </row>
    <row r="14" spans="2:13" x14ac:dyDescent="0.25">
      <c r="B14" s="8"/>
    </row>
    <row r="15" spans="2:13" x14ac:dyDescent="0.25">
      <c r="B15" s="7"/>
    </row>
    <row r="16" spans="2:13" x14ac:dyDescent="0.25">
      <c r="M16">
        <f>M14*M15</f>
        <v>0</v>
      </c>
    </row>
    <row r="20" spans="4:6" x14ac:dyDescent="0.25">
      <c r="D20" s="142"/>
      <c r="E20" s="142"/>
      <c r="F20" s="142"/>
    </row>
  </sheetData>
  <mergeCells count="1">
    <mergeCell ref="B2:E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showGridLines="0" zoomScaleNormal="100" workbookViewId="0">
      <selection activeCell="B1" sqref="B1"/>
    </sheetView>
  </sheetViews>
  <sheetFormatPr defaultRowHeight="15" x14ac:dyDescent="0.25"/>
  <cols>
    <col min="1" max="1" width="3.85546875" customWidth="1"/>
    <col min="2" max="2" width="17.5703125" customWidth="1"/>
    <col min="3" max="3" width="11.42578125" customWidth="1"/>
    <col min="4" max="4" width="24.28515625" bestFit="1" customWidth="1"/>
    <col min="5" max="5" width="7.85546875" customWidth="1"/>
    <col min="6" max="6" width="3" customWidth="1"/>
    <col min="11" max="11" width="6.42578125" bestFit="1" customWidth="1"/>
    <col min="12" max="12" width="6.28515625" bestFit="1" customWidth="1"/>
    <col min="13" max="13" width="12" bestFit="1" customWidth="1"/>
  </cols>
  <sheetData>
    <row r="1" spans="1:13" x14ac:dyDescent="0.25">
      <c r="A1" s="127"/>
      <c r="B1" s="9" t="s">
        <v>356</v>
      </c>
    </row>
    <row r="2" spans="1:13" x14ac:dyDescent="0.25">
      <c r="B2" s="159" t="s">
        <v>354</v>
      </c>
      <c r="C2" s="159"/>
      <c r="D2" s="159"/>
      <c r="E2" s="159"/>
      <c r="G2" s="142" t="s">
        <v>219</v>
      </c>
      <c r="H2" s="142" t="s">
        <v>293</v>
      </c>
      <c r="I2" s="142" t="s">
        <v>287</v>
      </c>
      <c r="L2" s="134"/>
      <c r="M2" s="134"/>
    </row>
    <row r="3" spans="1:13" x14ac:dyDescent="0.25">
      <c r="B3" s="139" t="s">
        <v>11</v>
      </c>
      <c r="C3" s="3">
        <v>16000000</v>
      </c>
      <c r="D3" s="3" t="s">
        <v>15</v>
      </c>
      <c r="E3" s="92" t="s">
        <v>181</v>
      </c>
      <c r="G3" s="80">
        <v>0</v>
      </c>
      <c r="H3" s="80" t="str">
        <f>TEXT(DEC2BIN(G3),"000")</f>
        <v>000</v>
      </c>
      <c r="I3" s="80" t="s">
        <v>296</v>
      </c>
      <c r="K3" s="59"/>
      <c r="L3" s="59"/>
      <c r="M3" s="59"/>
    </row>
    <row r="4" spans="1:13" x14ac:dyDescent="0.25">
      <c r="B4" s="139" t="s">
        <v>12</v>
      </c>
      <c r="C4" s="3">
        <v>64</v>
      </c>
      <c r="D4" s="3" t="s">
        <v>18</v>
      </c>
      <c r="E4" s="92" t="s">
        <v>48</v>
      </c>
      <c r="G4" s="3">
        <v>1</v>
      </c>
      <c r="H4" s="124" t="str">
        <f>TEXT(DEC2BIN(G4),"000")</f>
        <v>001</v>
      </c>
      <c r="I4" s="3">
        <v>1</v>
      </c>
      <c r="L4" s="59"/>
      <c r="M4" s="59"/>
    </row>
    <row r="5" spans="1:13" x14ac:dyDescent="0.25">
      <c r="B5" s="139" t="s">
        <v>5</v>
      </c>
      <c r="C5" s="3">
        <f>C3/C4</f>
        <v>250000</v>
      </c>
      <c r="D5" s="3" t="s">
        <v>20</v>
      </c>
      <c r="E5" s="92"/>
      <c r="G5" s="3">
        <v>2</v>
      </c>
      <c r="H5" s="124" t="str">
        <f t="shared" ref="H5:H10" si="0">TEXT(DEC2BIN(G5),"000")</f>
        <v>010</v>
      </c>
      <c r="I5" s="3">
        <v>8</v>
      </c>
      <c r="K5" s="59"/>
      <c r="L5" s="59"/>
      <c r="M5" s="59"/>
    </row>
    <row r="6" spans="1:13" x14ac:dyDescent="0.25">
      <c r="B6" s="40" t="s">
        <v>231</v>
      </c>
      <c r="C6" s="41">
        <v>180</v>
      </c>
      <c r="D6" s="41" t="s">
        <v>312</v>
      </c>
      <c r="E6" s="40" t="s">
        <v>49</v>
      </c>
      <c r="G6" s="3">
        <v>3</v>
      </c>
      <c r="H6" s="124" t="str">
        <f t="shared" si="0"/>
        <v>011</v>
      </c>
      <c r="I6" s="3">
        <v>64</v>
      </c>
    </row>
    <row r="7" spans="1:13" x14ac:dyDescent="0.25">
      <c r="B7" s="40" t="s">
        <v>346</v>
      </c>
      <c r="C7" s="76">
        <f>C5/C6/2/2</f>
        <v>347.22222222222223</v>
      </c>
      <c r="D7" s="41" t="s">
        <v>225</v>
      </c>
      <c r="E7" s="40"/>
      <c r="G7" s="3">
        <v>4</v>
      </c>
      <c r="H7" s="124" t="str">
        <f t="shared" si="0"/>
        <v>100</v>
      </c>
      <c r="I7" s="3">
        <v>256</v>
      </c>
    </row>
    <row r="8" spans="1:13" x14ac:dyDescent="0.25">
      <c r="B8" s="40" t="s">
        <v>347</v>
      </c>
      <c r="C8" s="41">
        <f>1000/C7</f>
        <v>2.88</v>
      </c>
      <c r="D8" s="41" t="s">
        <v>285</v>
      </c>
      <c r="E8" s="40"/>
      <c r="G8" s="3">
        <v>5</v>
      </c>
      <c r="H8" s="124" t="str">
        <f t="shared" si="0"/>
        <v>101</v>
      </c>
      <c r="I8" s="3">
        <v>1024</v>
      </c>
    </row>
    <row r="9" spans="1:13" x14ac:dyDescent="0.25">
      <c r="B9" s="40" t="s">
        <v>345</v>
      </c>
      <c r="C9" s="43">
        <v>0.5</v>
      </c>
      <c r="D9" s="41" t="s">
        <v>349</v>
      </c>
      <c r="E9" s="40"/>
      <c r="G9" s="3">
        <v>6</v>
      </c>
      <c r="H9" s="124" t="str">
        <f t="shared" si="0"/>
        <v>110</v>
      </c>
      <c r="I9" s="3" t="s">
        <v>294</v>
      </c>
    </row>
    <row r="10" spans="1:13" x14ac:dyDescent="0.25">
      <c r="B10" s="129" t="s">
        <v>314</v>
      </c>
      <c r="C10" s="130">
        <v>50</v>
      </c>
      <c r="D10" s="130" t="s">
        <v>313</v>
      </c>
      <c r="E10" s="129"/>
      <c r="G10" s="3">
        <v>7</v>
      </c>
      <c r="H10" s="124" t="str">
        <f t="shared" si="0"/>
        <v>111</v>
      </c>
      <c r="I10" s="3" t="s">
        <v>295</v>
      </c>
    </row>
    <row r="11" spans="1:13" x14ac:dyDescent="0.25">
      <c r="B11" s="129" t="s">
        <v>348</v>
      </c>
      <c r="C11" s="141">
        <f>C5/C6/2</f>
        <v>694.44444444444446</v>
      </c>
      <c r="D11" s="130" t="s">
        <v>225</v>
      </c>
      <c r="E11" s="129"/>
      <c r="G11" s="160" t="s">
        <v>351</v>
      </c>
      <c r="H11" s="160"/>
      <c r="I11" s="59"/>
    </row>
    <row r="12" spans="1:13" x14ac:dyDescent="0.25">
      <c r="B12" s="129" t="s">
        <v>52</v>
      </c>
      <c r="C12" s="131">
        <f>C10/C6</f>
        <v>0.27777777777777779</v>
      </c>
      <c r="D12" s="130" t="s">
        <v>350</v>
      </c>
      <c r="E12" s="129"/>
      <c r="G12" s="20" t="s">
        <v>352</v>
      </c>
      <c r="I12" s="20"/>
    </row>
    <row r="13" spans="1:13" x14ac:dyDescent="0.25">
      <c r="B13" s="129" t="s">
        <v>310</v>
      </c>
      <c r="C13" s="133">
        <f>C12*C8</f>
        <v>0.8</v>
      </c>
      <c r="D13" s="130" t="s">
        <v>285</v>
      </c>
      <c r="E13" s="129"/>
    </row>
    <row r="14" spans="1:13" x14ac:dyDescent="0.25">
      <c r="B14" s="11"/>
      <c r="C14" s="7"/>
      <c r="D14" s="7"/>
      <c r="E14" s="7"/>
    </row>
    <row r="15" spans="1:13" x14ac:dyDescent="0.25">
      <c r="B15" s="8"/>
    </row>
    <row r="18" spans="1:2" x14ac:dyDescent="0.25">
      <c r="B18" s="9" t="s">
        <v>353</v>
      </c>
    </row>
    <row r="19" spans="1:2" x14ac:dyDescent="0.25">
      <c r="B19" s="20" t="s">
        <v>338</v>
      </c>
    </row>
    <row r="20" spans="1:2" x14ac:dyDescent="0.25">
      <c r="B20" t="s">
        <v>339</v>
      </c>
    </row>
    <row r="21" spans="1:2" x14ac:dyDescent="0.25">
      <c r="A21" s="119"/>
      <c r="B21" t="s">
        <v>340</v>
      </c>
    </row>
    <row r="22" spans="1:2" x14ac:dyDescent="0.25">
      <c r="A22" s="135"/>
      <c r="B22" t="s">
        <v>341</v>
      </c>
    </row>
    <row r="23" spans="1:2" x14ac:dyDescent="0.25">
      <c r="B23" t="s">
        <v>342</v>
      </c>
    </row>
    <row r="24" spans="1:2" x14ac:dyDescent="0.25">
      <c r="B24" t="s">
        <v>343</v>
      </c>
    </row>
    <row r="25" spans="1:2" x14ac:dyDescent="0.25">
      <c r="B25" t="s">
        <v>344</v>
      </c>
    </row>
  </sheetData>
  <mergeCells count="2">
    <mergeCell ref="B2:E2"/>
    <mergeCell ref="G11:H11"/>
  </mergeCells>
  <hyperlinks>
    <hyperlink ref="B19" r:id="rId1"/>
    <hyperlink ref="G12" r:id="rId2"/>
  </hyperlinks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showGridLines="0" topLeftCell="A10" zoomScale="120" zoomScaleNormal="120" workbookViewId="0">
      <selection activeCell="G2" sqref="G2"/>
    </sheetView>
  </sheetViews>
  <sheetFormatPr defaultRowHeight="15" x14ac:dyDescent="0.25"/>
  <cols>
    <col min="1" max="1" width="3.85546875" customWidth="1"/>
    <col min="2" max="2" width="17.5703125" customWidth="1"/>
    <col min="3" max="3" width="11.42578125" customWidth="1"/>
    <col min="4" max="4" width="24.28515625" bestFit="1" customWidth="1"/>
    <col min="5" max="5" width="7.85546875" customWidth="1"/>
    <col min="6" max="6" width="6.28515625" customWidth="1"/>
    <col min="11" max="11" width="6.42578125" bestFit="1" customWidth="1"/>
    <col min="12" max="12" width="6.28515625" bestFit="1" customWidth="1"/>
    <col min="13" max="13" width="12" bestFit="1" customWidth="1"/>
  </cols>
  <sheetData>
    <row r="1" spans="1:13" x14ac:dyDescent="0.25">
      <c r="A1" s="127"/>
    </row>
    <row r="2" spans="1:13" x14ac:dyDescent="0.25">
      <c r="B2" s="159" t="s">
        <v>336</v>
      </c>
      <c r="C2" s="159"/>
      <c r="D2" s="159"/>
      <c r="E2" s="159"/>
      <c r="G2" s="142" t="s">
        <v>219</v>
      </c>
      <c r="H2" s="142" t="s">
        <v>286</v>
      </c>
      <c r="I2" s="142" t="s">
        <v>287</v>
      </c>
      <c r="L2" s="134"/>
      <c r="M2" s="134"/>
    </row>
    <row r="3" spans="1:13" x14ac:dyDescent="0.25">
      <c r="B3" s="122" t="s">
        <v>11</v>
      </c>
      <c r="C3" s="3">
        <v>16000000</v>
      </c>
      <c r="D3" s="3" t="s">
        <v>15</v>
      </c>
      <c r="E3" s="92" t="s">
        <v>181</v>
      </c>
      <c r="G3" s="80">
        <v>0</v>
      </c>
      <c r="H3" s="80" t="str">
        <f>TEXT(DEC2BIN(G3),"000")</f>
        <v>000</v>
      </c>
      <c r="I3" s="80" t="s">
        <v>296</v>
      </c>
      <c r="K3" s="59"/>
      <c r="L3" s="59"/>
      <c r="M3" s="59"/>
    </row>
    <row r="4" spans="1:13" x14ac:dyDescent="0.25">
      <c r="B4" s="122" t="s">
        <v>12</v>
      </c>
      <c r="C4" s="3">
        <v>64</v>
      </c>
      <c r="D4" s="3" t="s">
        <v>18</v>
      </c>
      <c r="E4" s="92" t="s">
        <v>48</v>
      </c>
      <c r="G4" s="3">
        <v>1</v>
      </c>
      <c r="H4" s="124" t="str">
        <f>TEXT(DEC2BIN(G4),"000")</f>
        <v>001</v>
      </c>
      <c r="I4" s="3">
        <v>1</v>
      </c>
      <c r="L4" s="59"/>
      <c r="M4" s="59"/>
    </row>
    <row r="5" spans="1:13" x14ac:dyDescent="0.25">
      <c r="B5" s="122" t="s">
        <v>5</v>
      </c>
      <c r="C5" s="3">
        <f>C3/C4</f>
        <v>250000</v>
      </c>
      <c r="D5" s="3" t="s">
        <v>20</v>
      </c>
      <c r="E5" s="92"/>
      <c r="G5" s="3">
        <v>2</v>
      </c>
      <c r="H5" s="124" t="str">
        <f t="shared" ref="H5:H10" si="0">TEXT(DEC2BIN(G5),"000")</f>
        <v>010</v>
      </c>
      <c r="I5" s="3">
        <v>8</v>
      </c>
      <c r="K5" s="59"/>
      <c r="L5" s="59"/>
      <c r="M5" s="59"/>
    </row>
    <row r="6" spans="1:13" x14ac:dyDescent="0.25">
      <c r="B6" s="40" t="s">
        <v>231</v>
      </c>
      <c r="C6" s="41">
        <v>180</v>
      </c>
      <c r="D6" s="41" t="s">
        <v>312</v>
      </c>
      <c r="E6" s="40" t="s">
        <v>49</v>
      </c>
      <c r="G6" s="3">
        <v>3</v>
      </c>
      <c r="H6" s="124" t="str">
        <f t="shared" si="0"/>
        <v>011</v>
      </c>
      <c r="I6" s="3">
        <v>32</v>
      </c>
    </row>
    <row r="7" spans="1:13" x14ac:dyDescent="0.25">
      <c r="B7" s="40" t="s">
        <v>346</v>
      </c>
      <c r="C7" s="76">
        <f>C5/C6/2/2</f>
        <v>347.22222222222223</v>
      </c>
      <c r="D7" s="41" t="s">
        <v>225</v>
      </c>
      <c r="E7" s="40"/>
      <c r="G7" s="3">
        <v>4</v>
      </c>
      <c r="H7" s="124" t="str">
        <f t="shared" si="0"/>
        <v>100</v>
      </c>
      <c r="I7" s="3">
        <v>64</v>
      </c>
    </row>
    <row r="8" spans="1:13" x14ac:dyDescent="0.25">
      <c r="B8" s="40" t="s">
        <v>347</v>
      </c>
      <c r="C8" s="41">
        <f>1000/C7</f>
        <v>2.88</v>
      </c>
      <c r="D8" s="41" t="s">
        <v>285</v>
      </c>
      <c r="E8" s="40"/>
      <c r="G8" s="3">
        <v>5</v>
      </c>
      <c r="H8" s="124" t="str">
        <f t="shared" si="0"/>
        <v>101</v>
      </c>
      <c r="I8" s="3">
        <v>128</v>
      </c>
    </row>
    <row r="9" spans="1:13" x14ac:dyDescent="0.25">
      <c r="B9" s="40" t="s">
        <v>345</v>
      </c>
      <c r="C9" s="43">
        <v>0.5</v>
      </c>
      <c r="D9" s="41" t="s">
        <v>349</v>
      </c>
      <c r="E9" s="40"/>
      <c r="G9" s="3">
        <v>6</v>
      </c>
      <c r="H9" s="124" t="str">
        <f t="shared" si="0"/>
        <v>110</v>
      </c>
      <c r="I9" s="3">
        <v>256</v>
      </c>
    </row>
    <row r="10" spans="1:13" x14ac:dyDescent="0.25">
      <c r="B10" s="129" t="s">
        <v>314</v>
      </c>
      <c r="C10" s="130">
        <v>50</v>
      </c>
      <c r="D10" s="130" t="s">
        <v>313</v>
      </c>
      <c r="E10" s="129"/>
      <c r="G10" s="3">
        <v>7</v>
      </c>
      <c r="H10" s="124" t="str">
        <f t="shared" si="0"/>
        <v>111</v>
      </c>
      <c r="I10" s="3">
        <v>1024</v>
      </c>
    </row>
    <row r="11" spans="1:13" x14ac:dyDescent="0.25">
      <c r="B11" s="129" t="s">
        <v>348</v>
      </c>
      <c r="C11" s="141">
        <f>C5/C6/2</f>
        <v>694.44444444444446</v>
      </c>
      <c r="D11" s="130" t="s">
        <v>225</v>
      </c>
      <c r="E11" s="129"/>
      <c r="G11" s="59"/>
      <c r="H11" s="126"/>
      <c r="I11" s="59"/>
    </row>
    <row r="12" spans="1:13" x14ac:dyDescent="0.25">
      <c r="B12" s="129" t="s">
        <v>52</v>
      </c>
      <c r="C12" s="131">
        <f>C10/C6</f>
        <v>0.27777777777777779</v>
      </c>
      <c r="D12" s="130" t="s">
        <v>350</v>
      </c>
      <c r="E12" s="129"/>
      <c r="G12" s="161"/>
      <c r="H12" s="161"/>
      <c r="I12" s="20"/>
    </row>
    <row r="13" spans="1:13" x14ac:dyDescent="0.25">
      <c r="B13" s="129" t="s">
        <v>310</v>
      </c>
      <c r="C13" s="133">
        <f>C12*C8</f>
        <v>0.8</v>
      </c>
      <c r="D13" s="130" t="s">
        <v>285</v>
      </c>
      <c r="E13" s="129"/>
    </row>
    <row r="14" spans="1:13" x14ac:dyDescent="0.25">
      <c r="B14" s="11"/>
      <c r="C14" s="7"/>
      <c r="D14" s="7"/>
      <c r="E14" s="7"/>
    </row>
    <row r="15" spans="1:13" x14ac:dyDescent="0.25">
      <c r="B15" s="8"/>
    </row>
    <row r="18" spans="1:2" x14ac:dyDescent="0.25">
      <c r="B18" s="9" t="s">
        <v>337</v>
      </c>
    </row>
    <row r="19" spans="1:2" x14ac:dyDescent="0.25">
      <c r="B19" s="20" t="s">
        <v>338</v>
      </c>
    </row>
    <row r="20" spans="1:2" x14ac:dyDescent="0.25">
      <c r="B20" t="s">
        <v>339</v>
      </c>
    </row>
    <row r="21" spans="1:2" x14ac:dyDescent="0.25">
      <c r="A21" s="119"/>
      <c r="B21" t="s">
        <v>340</v>
      </c>
    </row>
    <row r="22" spans="1:2" x14ac:dyDescent="0.25">
      <c r="A22" s="135"/>
      <c r="B22" t="s">
        <v>341</v>
      </c>
    </row>
    <row r="23" spans="1:2" x14ac:dyDescent="0.25">
      <c r="B23" t="s">
        <v>342</v>
      </c>
    </row>
    <row r="24" spans="1:2" x14ac:dyDescent="0.25">
      <c r="B24" t="s">
        <v>343</v>
      </c>
    </row>
    <row r="25" spans="1:2" x14ac:dyDescent="0.25">
      <c r="B25" t="s">
        <v>344</v>
      </c>
    </row>
  </sheetData>
  <mergeCells count="2">
    <mergeCell ref="B2:E2"/>
    <mergeCell ref="G12:H12"/>
  </mergeCells>
  <hyperlinks>
    <hyperlink ref="B19" r:id="rId1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7"/>
  <sheetViews>
    <sheetView showGridLines="0" zoomScale="130" zoomScaleNormal="130" workbookViewId="0">
      <selection activeCell="G2" sqref="G2:I2"/>
    </sheetView>
  </sheetViews>
  <sheetFormatPr defaultRowHeight="15" x14ac:dyDescent="0.25"/>
  <cols>
    <col min="1" max="1" width="4.5703125" customWidth="1"/>
    <col min="2" max="2" width="17.5703125" bestFit="1" customWidth="1"/>
    <col min="3" max="3" width="9.7109375" bestFit="1" customWidth="1"/>
    <col min="4" max="4" width="24.28515625" bestFit="1" customWidth="1"/>
    <col min="5" max="5" width="7.7109375" bestFit="1" customWidth="1"/>
    <col min="6" max="6" width="3.42578125" customWidth="1"/>
  </cols>
  <sheetData>
    <row r="2" spans="1:9" x14ac:dyDescent="0.25">
      <c r="B2" s="159" t="s">
        <v>326</v>
      </c>
      <c r="C2" s="159"/>
      <c r="D2" s="159"/>
      <c r="E2" s="159"/>
      <c r="G2" s="142" t="s">
        <v>219</v>
      </c>
      <c r="H2" s="142" t="s">
        <v>293</v>
      </c>
      <c r="I2" s="142" t="s">
        <v>287</v>
      </c>
    </row>
    <row r="3" spans="1:9" x14ac:dyDescent="0.25">
      <c r="B3" s="112" t="s">
        <v>11</v>
      </c>
      <c r="C3" s="3">
        <v>16000000</v>
      </c>
      <c r="D3" s="3" t="s">
        <v>15</v>
      </c>
      <c r="E3" s="92" t="s">
        <v>181</v>
      </c>
      <c r="G3" s="80">
        <v>0</v>
      </c>
      <c r="H3" s="80" t="str">
        <f>TEXT(DEC2BIN(G3),"000")</f>
        <v>000</v>
      </c>
      <c r="I3" s="80" t="s">
        <v>296</v>
      </c>
    </row>
    <row r="4" spans="1:9" x14ac:dyDescent="0.25">
      <c r="B4" s="112" t="s">
        <v>12</v>
      </c>
      <c r="C4" s="3">
        <v>8</v>
      </c>
      <c r="D4" s="3" t="s">
        <v>18</v>
      </c>
      <c r="E4" s="92" t="s">
        <v>48</v>
      </c>
      <c r="G4" s="3">
        <v>1</v>
      </c>
      <c r="H4" s="124" t="str">
        <f>TEXT(DEC2BIN(G4),"000")</f>
        <v>001</v>
      </c>
      <c r="I4" s="3">
        <v>1</v>
      </c>
    </row>
    <row r="5" spans="1:9" x14ac:dyDescent="0.25">
      <c r="B5" s="112" t="s">
        <v>5</v>
      </c>
      <c r="C5" s="3">
        <f>C3/C4</f>
        <v>2000000</v>
      </c>
      <c r="D5" s="3" t="s">
        <v>20</v>
      </c>
      <c r="E5" s="92"/>
      <c r="G5" s="3">
        <v>2</v>
      </c>
      <c r="H5" s="124" t="str">
        <f t="shared" ref="H5:H10" si="0">TEXT(DEC2BIN(G5),"000")</f>
        <v>010</v>
      </c>
      <c r="I5" s="3">
        <v>8</v>
      </c>
    </row>
    <row r="6" spans="1:9" x14ac:dyDescent="0.25">
      <c r="B6" s="40" t="s">
        <v>318</v>
      </c>
      <c r="C6" s="41">
        <v>40000</v>
      </c>
      <c r="D6" s="41" t="s">
        <v>325</v>
      </c>
      <c r="E6" s="40" t="s">
        <v>49</v>
      </c>
      <c r="G6" s="3">
        <v>3</v>
      </c>
      <c r="H6" s="124" t="str">
        <f t="shared" si="0"/>
        <v>011</v>
      </c>
      <c r="I6" s="3">
        <v>64</v>
      </c>
    </row>
    <row r="7" spans="1:9" x14ac:dyDescent="0.25">
      <c r="B7" s="40" t="s">
        <v>319</v>
      </c>
      <c r="C7" s="136">
        <f>C5/C6</f>
        <v>50</v>
      </c>
      <c r="D7" s="41" t="s">
        <v>290</v>
      </c>
      <c r="E7" s="40"/>
      <c r="G7" s="3">
        <v>4</v>
      </c>
      <c r="H7" s="124" t="str">
        <f t="shared" si="0"/>
        <v>100</v>
      </c>
      <c r="I7" s="3">
        <v>256</v>
      </c>
    </row>
    <row r="8" spans="1:9" x14ac:dyDescent="0.25">
      <c r="B8" s="40" t="s">
        <v>320</v>
      </c>
      <c r="C8" s="136">
        <f>1000/C7</f>
        <v>20</v>
      </c>
      <c r="D8" s="41" t="s">
        <v>285</v>
      </c>
      <c r="E8" s="41"/>
      <c r="G8" s="3">
        <v>5</v>
      </c>
      <c r="H8" s="124" t="str">
        <f t="shared" si="0"/>
        <v>101</v>
      </c>
      <c r="I8" s="3">
        <v>1024</v>
      </c>
    </row>
    <row r="9" spans="1:9" x14ac:dyDescent="0.25">
      <c r="B9" s="129" t="s">
        <v>321</v>
      </c>
      <c r="C9" s="137">
        <v>2000</v>
      </c>
      <c r="D9" s="130" t="s">
        <v>322</v>
      </c>
      <c r="E9" s="130"/>
      <c r="G9" s="3">
        <v>6</v>
      </c>
      <c r="H9" s="124" t="str">
        <f t="shared" si="0"/>
        <v>110</v>
      </c>
      <c r="I9" s="3" t="s">
        <v>294</v>
      </c>
    </row>
    <row r="10" spans="1:9" x14ac:dyDescent="0.25">
      <c r="B10" s="129" t="s">
        <v>323</v>
      </c>
      <c r="C10" s="131">
        <f>C9/C6</f>
        <v>0.05</v>
      </c>
      <c r="D10" s="130"/>
      <c r="E10" s="130"/>
      <c r="G10" s="3">
        <v>7</v>
      </c>
      <c r="H10" s="124" t="str">
        <f t="shared" si="0"/>
        <v>111</v>
      </c>
      <c r="I10" s="3" t="s">
        <v>295</v>
      </c>
    </row>
    <row r="11" spans="1:9" x14ac:dyDescent="0.25">
      <c r="B11" s="129" t="s">
        <v>324</v>
      </c>
      <c r="C11" s="138">
        <f>C9/C6*C8</f>
        <v>1</v>
      </c>
      <c r="D11" s="130" t="s">
        <v>285</v>
      </c>
      <c r="E11" s="130"/>
    </row>
    <row r="12" spans="1:9" x14ac:dyDescent="0.25">
      <c r="B12" s="7"/>
      <c r="G12" s="161" t="s">
        <v>299</v>
      </c>
      <c r="H12" s="161"/>
      <c r="I12" s="20" t="s">
        <v>300</v>
      </c>
    </row>
    <row r="16" spans="1:9" x14ac:dyDescent="0.25">
      <c r="A16" s="119" t="s">
        <v>316</v>
      </c>
    </row>
    <row r="17" spans="1:1" x14ac:dyDescent="0.25">
      <c r="A17" s="135" t="s">
        <v>315</v>
      </c>
    </row>
  </sheetData>
  <mergeCells count="2">
    <mergeCell ref="B2:E2"/>
    <mergeCell ref="G12:H12"/>
  </mergeCells>
  <hyperlinks>
    <hyperlink ref="A17" r:id="rId1"/>
    <hyperlink ref="I12" r:id="rId2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2"/>
  <sheetViews>
    <sheetView showGridLines="0" zoomScale="120" zoomScaleNormal="120" workbookViewId="0">
      <selection activeCell="D14" sqref="D14"/>
    </sheetView>
  </sheetViews>
  <sheetFormatPr defaultRowHeight="15" x14ac:dyDescent="0.25"/>
  <cols>
    <col min="1" max="1" width="5.5703125" customWidth="1"/>
    <col min="2" max="2" width="14.85546875" bestFit="1" customWidth="1"/>
    <col min="3" max="3" width="11.42578125" customWidth="1"/>
    <col min="4" max="4" width="26" bestFit="1" customWidth="1"/>
    <col min="5" max="5" width="7.85546875" customWidth="1"/>
    <col min="6" max="6" width="6" customWidth="1"/>
    <col min="10" max="10" width="3.7109375" customWidth="1"/>
    <col min="11" max="11" width="6.42578125" bestFit="1" customWidth="1"/>
    <col min="12" max="12" width="6.28515625" bestFit="1" customWidth="1"/>
    <col min="13" max="13" width="12" bestFit="1" customWidth="1"/>
  </cols>
  <sheetData>
    <row r="1" spans="1:9" x14ac:dyDescent="0.25">
      <c r="A1" s="127" t="s">
        <v>311</v>
      </c>
    </row>
    <row r="2" spans="1:9" x14ac:dyDescent="0.25">
      <c r="A2" s="127"/>
    </row>
    <row r="3" spans="1:9" x14ac:dyDescent="0.25">
      <c r="B3" s="159" t="s">
        <v>330</v>
      </c>
      <c r="C3" s="159"/>
      <c r="D3" s="159"/>
      <c r="E3" s="159"/>
      <c r="G3" s="121" t="s">
        <v>219</v>
      </c>
      <c r="H3" s="121" t="s">
        <v>293</v>
      </c>
      <c r="I3" s="121" t="s">
        <v>287</v>
      </c>
    </row>
    <row r="4" spans="1:9" x14ac:dyDescent="0.25">
      <c r="B4" s="90" t="s">
        <v>11</v>
      </c>
      <c r="C4" s="3">
        <v>16000000</v>
      </c>
      <c r="D4" s="3" t="s">
        <v>15</v>
      </c>
      <c r="E4" s="92" t="s">
        <v>181</v>
      </c>
      <c r="G4" s="80">
        <v>0</v>
      </c>
      <c r="H4" s="80" t="str">
        <f>TEXT(DEC2BIN(G4),"000")</f>
        <v>000</v>
      </c>
      <c r="I4" s="80" t="s">
        <v>296</v>
      </c>
    </row>
    <row r="5" spans="1:9" x14ac:dyDescent="0.25">
      <c r="B5" s="90" t="s">
        <v>12</v>
      </c>
      <c r="C5" s="3">
        <v>64</v>
      </c>
      <c r="D5" s="3" t="s">
        <v>18</v>
      </c>
      <c r="E5" s="92" t="s">
        <v>48</v>
      </c>
      <c r="G5" s="3">
        <v>1</v>
      </c>
      <c r="H5" s="124" t="str">
        <f>TEXT(DEC2BIN(G5),"000")</f>
        <v>001</v>
      </c>
      <c r="I5" s="3">
        <v>1</v>
      </c>
    </row>
    <row r="6" spans="1:9" x14ac:dyDescent="0.25">
      <c r="B6" s="90" t="s">
        <v>5</v>
      </c>
      <c r="C6" s="3">
        <f>C4/C5</f>
        <v>250000</v>
      </c>
      <c r="D6" s="3" t="s">
        <v>20</v>
      </c>
      <c r="E6" s="92"/>
      <c r="G6" s="3">
        <v>2</v>
      </c>
      <c r="H6" s="124" t="str">
        <f t="shared" ref="H6:H11" si="0">TEXT(DEC2BIN(G6),"000")</f>
        <v>010</v>
      </c>
      <c r="I6" s="3">
        <v>8</v>
      </c>
    </row>
    <row r="7" spans="1:9" x14ac:dyDescent="0.25">
      <c r="B7" s="121" t="s">
        <v>301</v>
      </c>
      <c r="C7" s="3">
        <v>256</v>
      </c>
      <c r="D7" s="3" t="s">
        <v>302</v>
      </c>
      <c r="E7" s="92" t="s">
        <v>49</v>
      </c>
      <c r="G7" s="3">
        <v>3</v>
      </c>
      <c r="H7" s="124" t="str">
        <f t="shared" si="0"/>
        <v>011</v>
      </c>
      <c r="I7" s="3">
        <v>64</v>
      </c>
    </row>
    <row r="8" spans="1:9" x14ac:dyDescent="0.25">
      <c r="B8" s="121" t="s">
        <v>288</v>
      </c>
      <c r="C8" s="3">
        <f>C6/C7</f>
        <v>976.5625</v>
      </c>
      <c r="D8" s="3" t="s">
        <v>225</v>
      </c>
      <c r="E8" s="92"/>
      <c r="G8" s="3">
        <v>4</v>
      </c>
      <c r="H8" s="124" t="str">
        <f t="shared" si="0"/>
        <v>100</v>
      </c>
      <c r="I8" s="3">
        <v>256</v>
      </c>
    </row>
    <row r="9" spans="1:9" x14ac:dyDescent="0.25">
      <c r="B9" s="121" t="s">
        <v>291</v>
      </c>
      <c r="C9" s="3">
        <f>1000/C8</f>
        <v>1.024</v>
      </c>
      <c r="D9" s="3" t="s">
        <v>285</v>
      </c>
      <c r="E9" s="92"/>
      <c r="G9" s="3">
        <v>5</v>
      </c>
      <c r="H9" s="124" t="str">
        <f t="shared" si="0"/>
        <v>101</v>
      </c>
      <c r="I9" s="3">
        <v>1024</v>
      </c>
    </row>
    <row r="10" spans="1:9" x14ac:dyDescent="0.25">
      <c r="B10" s="40" t="s">
        <v>193</v>
      </c>
      <c r="C10" s="41">
        <v>25</v>
      </c>
      <c r="D10" s="41" t="s">
        <v>335</v>
      </c>
      <c r="E10" s="40"/>
      <c r="G10" s="3">
        <v>6</v>
      </c>
      <c r="H10" s="124" t="str">
        <f t="shared" si="0"/>
        <v>110</v>
      </c>
      <c r="I10" s="3" t="s">
        <v>294</v>
      </c>
    </row>
    <row r="11" spans="1:9" x14ac:dyDescent="0.25">
      <c r="B11" s="40" t="s">
        <v>52</v>
      </c>
      <c r="C11" s="128">
        <f>C10/C7</f>
        <v>9.765625E-2</v>
      </c>
      <c r="D11" s="41"/>
      <c r="E11" s="40"/>
      <c r="G11" s="3">
        <v>7</v>
      </c>
      <c r="H11" s="124" t="str">
        <f t="shared" si="0"/>
        <v>111</v>
      </c>
      <c r="I11" s="3" t="s">
        <v>295</v>
      </c>
    </row>
    <row r="12" spans="1:9" x14ac:dyDescent="0.25">
      <c r="B12" s="40" t="s">
        <v>310</v>
      </c>
      <c r="C12" s="132">
        <f>C11*C9</f>
        <v>0.1</v>
      </c>
      <c r="D12" s="41" t="s">
        <v>285</v>
      </c>
      <c r="E12" s="40"/>
      <c r="G12" s="161" t="s">
        <v>299</v>
      </c>
      <c r="H12" s="161"/>
      <c r="I12" s="20" t="s">
        <v>300</v>
      </c>
    </row>
    <row r="13" spans="1:9" x14ac:dyDescent="0.25">
      <c r="B13" s="129" t="s">
        <v>228</v>
      </c>
      <c r="C13" s="130">
        <v>12</v>
      </c>
      <c r="D13" s="130" t="s">
        <v>335</v>
      </c>
      <c r="E13" s="129"/>
    </row>
    <row r="14" spans="1:9" x14ac:dyDescent="0.25">
      <c r="B14" s="129" t="s">
        <v>52</v>
      </c>
      <c r="C14" s="131">
        <f>C13/C7</f>
        <v>4.6875E-2</v>
      </c>
      <c r="D14" s="130"/>
      <c r="E14" s="129"/>
    </row>
    <row r="15" spans="1:9" x14ac:dyDescent="0.25">
      <c r="B15" s="129" t="s">
        <v>310</v>
      </c>
      <c r="C15" s="133">
        <f>C14*C9</f>
        <v>4.8000000000000001E-2</v>
      </c>
      <c r="D15" s="130" t="s">
        <v>285</v>
      </c>
      <c r="E15" s="129"/>
    </row>
    <row r="16" spans="1:9" x14ac:dyDescent="0.25">
      <c r="B16" s="11"/>
      <c r="C16" s="7"/>
      <c r="D16" s="7"/>
      <c r="E16" s="7"/>
    </row>
    <row r="17" spans="2:4" x14ac:dyDescent="0.25">
      <c r="B17" s="12"/>
    </row>
    <row r="18" spans="2:4" x14ac:dyDescent="0.25">
      <c r="B18" s="8"/>
    </row>
    <row r="19" spans="2:4" x14ac:dyDescent="0.25">
      <c r="B19" s="122" t="s">
        <v>44</v>
      </c>
      <c r="C19" s="122" t="s">
        <v>303</v>
      </c>
      <c r="D19" s="122" t="s">
        <v>301</v>
      </c>
    </row>
    <row r="20" spans="2:4" x14ac:dyDescent="0.25">
      <c r="B20" s="92">
        <v>5</v>
      </c>
      <c r="C20" s="3" t="s">
        <v>304</v>
      </c>
      <c r="D20" s="3" t="s">
        <v>307</v>
      </c>
    </row>
    <row r="21" spans="2:4" x14ac:dyDescent="0.25">
      <c r="B21" s="92">
        <v>6</v>
      </c>
      <c r="C21" s="3" t="s">
        <v>305</v>
      </c>
      <c r="D21" s="3" t="s">
        <v>308</v>
      </c>
    </row>
    <row r="22" spans="2:4" x14ac:dyDescent="0.25">
      <c r="B22" s="92">
        <v>7</v>
      </c>
      <c r="C22" s="3" t="s">
        <v>306</v>
      </c>
      <c r="D22" s="3" t="s">
        <v>309</v>
      </c>
    </row>
  </sheetData>
  <mergeCells count="2">
    <mergeCell ref="B3:E3"/>
    <mergeCell ref="G12:H12"/>
  </mergeCells>
  <hyperlinks>
    <hyperlink ref="I12" r:id="rId1"/>
  </hyperlinks>
  <pageMargins left="0.7" right="0.7" top="0.75" bottom="0.75" header="0.3" footer="0.3"/>
  <pageSetup orientation="portrait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HOME</vt:lpstr>
      <vt:lpstr>Square Approx to Notes</vt:lpstr>
      <vt:lpstr>FrequencyFormula</vt:lpstr>
      <vt:lpstr>Timer 1 Normal Mode 0</vt:lpstr>
      <vt:lpstr>Timer 2 Normal Mode 0 </vt:lpstr>
      <vt:lpstr>T1 PWM Phase Correct Mode 1</vt:lpstr>
      <vt:lpstr>T2 PWM Phase Correct Mode 5 </vt:lpstr>
      <vt:lpstr>Timer 1 CTC Mode 4</vt:lpstr>
      <vt:lpstr>Timer 1 Fast PWM Modes 5-7 </vt:lpstr>
      <vt:lpstr>Timer 2 Fast PWM Mode 7</vt:lpstr>
      <vt:lpstr>DC Fan T2 Mode 7</vt:lpstr>
      <vt:lpstr>ICP Options</vt:lpstr>
      <vt:lpstr>ADC Prescalar</vt:lpstr>
      <vt:lpstr>ResisterInterpreter</vt:lpstr>
      <vt:lpstr>Resistor</vt:lpstr>
      <vt:lpstr>LightItUp</vt:lpstr>
      <vt:lpstr>SquareWaveApproxCompleted</vt:lpstr>
      <vt:lpstr>ServoSupport</vt:lpstr>
      <vt:lpstr>NoteTable</vt:lpstr>
      <vt:lpstr>Resistor</vt:lpstr>
      <vt:lpstr>Resistors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</dc:creator>
  <cp:lastModifiedBy>C. D'Arcy</cp:lastModifiedBy>
  <dcterms:created xsi:type="dcterms:W3CDTF">2015-11-28T19:44:11Z</dcterms:created>
  <dcterms:modified xsi:type="dcterms:W3CDTF">2022-01-15T23:40:34Z</dcterms:modified>
</cp:coreProperties>
</file>